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eckblatt" state="visible" r:id="rId4"/>
    <sheet sheetId="2" name="Parameter" state="visible" r:id="rId5"/>
    <sheet sheetId="3" name="Stornofälle" state="visible" r:id="rId6"/>
    <sheet sheetId="4" name="Pareto" state="visible" r:id="rId7"/>
    <sheet sheetId="5" name="Maßnahmen" state="visible" r:id="rId8"/>
  </sheets>
  <definedNames>
    <definedName name="_xlnm.Print_Area" localSheetId="0">'Deckblatt'!$A1:$B19</definedName>
    <definedName name="_xlnm.Print_Area" localSheetId="1">'Parameter'!$A1:$C12</definedName>
    <definedName name="_xlnm.Print_Titles" localSheetId="1">'Parameter'!$1:$1</definedName>
    <definedName name="_xlnm.Print_Area" localSheetId="2">'Stornofälle'!$A1:$R31</definedName>
    <definedName name="_xlnm.Print_Titles" localSheetId="2">'Stornofälle'!$A:$D,'Stornofälle'!$1:$1</definedName>
    <definedName name="_xlnm.Print_Area" localSheetId="3">'Pareto'!$A1:$J23</definedName>
    <definedName name="_xlnm.Print_Titles" localSheetId="3">'Pareto'!$1:$1</definedName>
    <definedName name="_xlnm.Print_Area" localSheetId="4">'Maßnahmen'!$A1:$J19</definedName>
    <definedName name="_xlnm.Print_Titles" localSheetId="4">'Maßnahmen'!$1:$1</definedName>
  </definedNames>
  <calcPr calcId="171027"/>
</workbook>
</file>

<file path=xl/sharedStrings.xml><?xml version="1.0" encoding="utf-8"?>
<sst xmlns="http://schemas.openxmlformats.org/spreadsheetml/2006/main" count="210" uniqueCount="156">
  <si>
    <t>Storno-Ursachenanalyse</t>
  </si>
  <si>
    <t>Vom Einzelfall zur Pareto-Auswertung: welche Ursachen vier Fünftel des Schadens tragen und was ein Prozentpunkt wert ist.</t>
  </si>
  <si>
    <t>Stand</t>
  </si>
  <si>
    <t>16.08.2026</t>
  </si>
  <si>
    <t>Version</t>
  </si>
  <si>
    <t>Herausgeber</t>
  </si>
  <si>
    <t>MyInvest Pro · myinvest-pro.de</t>
  </si>
  <si>
    <t>Annahmen</t>
  </si>
  <si>
    <t>Beispielauswertung</t>
  </si>
  <si>
    <t>9 Stornofälle aus 01.01.2026 bis 15.08.2026 bei 62 Beurkundungen</t>
  </si>
  <si>
    <t>Ursachenkatalog</t>
  </si>
  <si>
    <t>11 Ursachen mit Erklärung und erster Gegenmaßnahme auf Blatt „Pareto"</t>
  </si>
  <si>
    <t>Bezugsgrößen</t>
  </si>
  <si>
    <t>12.000 € durchschnittliche Provision je Einheit, Zielstornoquote 8 %</t>
  </si>
  <si>
    <t>Ergebnis im Beispiel</t>
  </si>
  <si>
    <t>Stornoquote 14,5 %, 5 Ursachen tragen vier Fünftel des Schadens</t>
  </si>
  <si>
    <t>Was nicht als Schaden zählt</t>
  </si>
  <si>
    <t>die Rückforderung eines Provisionsvorschusses — sie fließt zurück und steht deshalb in einer eigenen Spalte</t>
  </si>
  <si>
    <t>Stichtag</t>
  </si>
  <si>
    <t>Unverbindliche Arbeitshilfe. Ersetzt keine Rechts-, Steuer- oder Finanzberatung. Alle eingetragenen Zahlen sind Beispielwerte und keine Marktdaten — die Mappe rechnet mit den Werten, die Sie selbst eintragen. Stand: 16.08.2026 · Version 1.</t>
  </si>
  <si>
    <t>Parameter</t>
  </si>
  <si>
    <t>Wert</t>
  </si>
  <si>
    <t>Wozu die Zahl gebraucht wird</t>
  </si>
  <si>
    <t>Betrachtungszeitraum</t>
  </si>
  <si>
    <t>Stichtag dieser Auswertung</t>
  </si>
  <si>
    <t>Bewusst kein TODAY(): Eine Auswertung ohne festen Stichtag ist nicht reproduzierbar.</t>
  </si>
  <si>
    <t>Zeitraum von</t>
  </si>
  <si>
    <t>Zeitraum bis</t>
  </si>
  <si>
    <t>Stornofälle und Beurkundungen müssen denselben Zeitraum abdecken, sonst ist die Quote eine Zufallszahl.</t>
  </si>
  <si>
    <t>Beurkundungen im Zeitraum</t>
  </si>
  <si>
    <t>Der Nenner der Stornoquote. Reservierungen gehören nicht hinein — sonst sinkt die Quote genau dann, wenn viel reserviert und wenig beurkundet wird.</t>
  </si>
  <si>
    <t>Durchschnittliche Provision je Einheit netto</t>
  </si>
  <si>
    <t>Bezugsgröße für den Effekt einer Quotensenkung. Sie ist ein Durchschnitt und keine Zahl aus einer einzelnen Abrechnung.</t>
  </si>
  <si>
    <t>Zielstornoquote</t>
  </si>
  <si>
    <t>Der Wert, an dem die Auswertung den Abstand misst. Eine Zielquote von null wäre keine Vorgabe, sondern ein Vorwurf: Ein Teil der Stornos ist nicht vermeidbar.</t>
  </si>
  <si>
    <t>Der Rechner „Storno-Kostenrechner" auf der Website rechnet mit denselben drei Zahlen: Beurkundungen, durchschnittliche Provision und Quote. Wer beides nebeneinanderlegt, muss dieselbe Zahl sehen — deshalb steht der Effekt einer Senkung um einen Prozentpunkt auch hier als Formel und nicht als Text.</t>
  </si>
  <si>
    <t>Nr.</t>
  </si>
  <si>
    <t>Storno am</t>
  </si>
  <si>
    <t>Projekt</t>
  </si>
  <si>
    <t>Einheit</t>
  </si>
  <si>
    <t>Käufer</t>
  </si>
  <si>
    <t>Kaufpreis netto</t>
  </si>
  <si>
    <t>Provisionssatz</t>
  </si>
  <si>
    <t>Entgangene Provision</t>
  </si>
  <si>
    <t>Phase beim Storno</t>
  </si>
  <si>
    <t>Ursache</t>
  </si>
  <si>
    <t>Vermeidbar</t>
  </si>
  <si>
    <t>Beurkundung am</t>
  </si>
  <si>
    <t>Tage bis Storno</t>
  </si>
  <si>
    <t>Rückforderung Vorschuss</t>
  </si>
  <si>
    <t>Kosten Wiedervermarktung</t>
  </si>
  <si>
    <t>Gesamtschaden</t>
  </si>
  <si>
    <t>Maßnahme-Nr.</t>
  </si>
  <si>
    <t>Prüfung</t>
  </si>
  <si>
    <t>Wohnpark Beispielstraße</t>
  </si>
  <si>
    <t>WE 03</t>
  </si>
  <si>
    <t>K. H.</t>
  </si>
  <si>
    <t>Reservierung</t>
  </si>
  <si>
    <t>Finanzierung geplatzt</t>
  </si>
  <si>
    <t>ja</t>
  </si>
  <si>
    <t>M-01</t>
  </si>
  <si>
    <t>WE 07</t>
  </si>
  <si>
    <t>L. M.</t>
  </si>
  <si>
    <t>vor Beurkundung</t>
  </si>
  <si>
    <t>Eigenkapital fehlt</t>
  </si>
  <si>
    <t>Quartier Musterweg</t>
  </si>
  <si>
    <t>WE 02</t>
  </si>
  <si>
    <t>S. A.</t>
  </si>
  <si>
    <t>nach Beurkundung</t>
  </si>
  <si>
    <t>Widerruf Fernabsatz</t>
  </si>
  <si>
    <t>teilweise</t>
  </si>
  <si>
    <t>M-03</t>
  </si>
  <si>
    <t>WE 12</t>
  </si>
  <si>
    <t>R. B.</t>
  </si>
  <si>
    <t>Kaufpreis nachverhandelt</t>
  </si>
  <si>
    <t>M-02</t>
  </si>
  <si>
    <t>WE 05</t>
  </si>
  <si>
    <t>P. L.</t>
  </si>
  <si>
    <t>WE 09</t>
  </si>
  <si>
    <t>T. K.</t>
  </si>
  <si>
    <t>Bauzeit zu lang</t>
  </si>
  <si>
    <t>M-04</t>
  </si>
  <si>
    <t>WE 08</t>
  </si>
  <si>
    <t>N. V.</t>
  </si>
  <si>
    <t>Wettbewerbsangebot</t>
  </si>
  <si>
    <t>M-05</t>
  </si>
  <si>
    <t>WE 15</t>
  </si>
  <si>
    <t>J. P.</t>
  </si>
  <si>
    <t>M. F.</t>
  </si>
  <si>
    <t>Persönliche Gründe</t>
  </si>
  <si>
    <t>nein</t>
  </si>
  <si>
    <t/>
  </si>
  <si>
    <t>Summe</t>
  </si>
  <si>
    <t>Der Gesamtschaden enthält die entgangene Provision und die Kosten der Wiedervermarktung — die Rückforderung eines Vorschusses steht bewusst daneben und nicht darin: Sie fließt zurück. Wer sie mitzählt, macht aus einer Umbuchung einen Verlust und rechnet jeder Maßnahme eine Wirkung zu, die sie nicht hat.</t>
  </si>
  <si>
    <t>Fälle</t>
  </si>
  <si>
    <t>Anteil der Fälle</t>
  </si>
  <si>
    <t>Schaden</t>
  </si>
  <si>
    <t>Schadensanteil</t>
  </si>
  <si>
    <t>Rang</t>
  </si>
  <si>
    <t>Kumulierter Schadensanteil</t>
  </si>
  <si>
    <t>Gehört zu den 80 Prozent</t>
  </si>
  <si>
    <t>Was dahintersteckt</t>
  </si>
  <si>
    <t>Erste Gegenmaßnahme</t>
  </si>
  <si>
    <t>Die Bank hat die Zusage zurückgezogen oder nie erteilt. Der häufigste Grund und der teuerste, weil er meist spät auffällt.</t>
  </si>
  <si>
    <t>Finanzierungsnachweis vor der Reservierung verbindlich verlangen, nicht als Absichtserklärung.</t>
  </si>
  <si>
    <t>Das zugesagte Eigenkapital ist gebunden, verloren oder war nie vorhanden.</t>
  </si>
  <si>
    <t>Im Erstgespräch nach der Herkunft des Eigenkapitals fragen und die Antwort festhalten.</t>
  </si>
  <si>
    <t>Der Käufer will nach der Reservierung nachverhandeln und springt ab, wenn er nicht durchkommt.</t>
  </si>
  <si>
    <t>Nachlassrahmen und Freigabestufen vor dem Gespräch festlegen, nicht im Gespräch.</t>
  </si>
  <si>
    <t>Der Fertigstellungstermin verschiebt sich, der Käufer hat eine Anschlussmiete oder einen Verkauf getaktet.</t>
  </si>
  <si>
    <t>Termine mit Puffer kommunizieren und Verschiebungen aktiv melden, bevor der Käufer sie bemerkt.</t>
  </si>
  <si>
    <t>Bemusterung eskaliert</t>
  </si>
  <si>
    <t>Sonderwünsche werden teurer als erwartet oder sind nicht umsetzbar.</t>
  </si>
  <si>
    <t>Bemusterungskatalog mit Preisen vor der Beurkundung übergeben.</t>
  </si>
  <si>
    <t>Objektmangel</t>
  </si>
  <si>
    <t>Bautenstand, Ausführung oder Umfeld entsprechen nicht der Baubeschreibung.</t>
  </si>
  <si>
    <t>Bautenstandsbericht mit Fotos in den Datenraum, monatlich.</t>
  </si>
  <si>
    <t>Trennung, Jobwechsel, Krankheit, Umzug. Nicht vermeidbar und deshalb kein Ansatzpunkt für eine Maßnahme.</t>
  </si>
  <si>
    <t>Keine Maßnahme möglich — in der Auswertung getrennt ausweisen, damit die vermeidbaren Fälle sichtbar bleiben.</t>
  </si>
  <si>
    <t>Der Käufer widerruft innerhalb der Frist, weil der Vertrag im Fernabsatz zustande kam.</t>
  </si>
  <si>
    <t>Belehrung korrekt und nachweisbar erteilen; die Frist läuft sonst nicht an.</t>
  </si>
  <si>
    <t>Ein anderes Objekt war schneller, günstiger oder besser dokumentiert.</t>
  </si>
  <si>
    <t>Reaktionszeit auf Anfragen messen und die Unterlagen vollständig halten.</t>
  </si>
  <si>
    <t>Unterlagen unklar</t>
  </si>
  <si>
    <t>Teilungserklärung, Wohnflächenberechnung oder Zahlungsplan werfen Fragen auf, die niemand beantwortet.</t>
  </si>
  <si>
    <t>Unterlagen vor dem Vertriebsstart vollständig und geprüft in den Datenraum.</t>
  </si>
  <si>
    <t>Vertrauensverlust</t>
  </si>
  <si>
    <t>Widersprüchliche Aussagen, unbeantwortete Rückfragen, wechselnde Ansprechpartner.</t>
  </si>
  <si>
    <t>Feste Zuständigkeit je Käufer und eine Rückmeldefrist, die eingehalten wird.</t>
  </si>
  <si>
    <t>Stornofälle im Zeitraum</t>
  </si>
  <si>
    <t>Stornoquote</t>
  </si>
  <si>
    <t>Abstand zur Zielquote in Prozentpunkten</t>
  </si>
  <si>
    <t>Durchschnittlicher Schaden je Fall</t>
  </si>
  <si>
    <t>Wert eines Prozentpunkts weniger Storno</t>
  </si>
  <si>
    <t>Einsparung bis zur Zielquote</t>
  </si>
  <si>
    <t>Die Spalte „Gehört zu den 80 Prozent" markiert die Ursachen, die zusammen vier Fünftel des Schadens tragen — einschließlich derjenigen, die die Grenze überschreitet. Dort und nur dort lohnt die erste Maßnahme. Die Zeile „Wert eines Prozentpunkts weniger Storno" übersetzt das Ergebnis in die Währung, in der über Maßnahmen entschieden wird.</t>
  </si>
  <si>
    <t>Maßnahme</t>
  </si>
  <si>
    <t>Verantwortlich</t>
  </si>
  <si>
    <t>Frist</t>
  </si>
  <si>
    <t>Status</t>
  </si>
  <si>
    <t>Erwartete Wirkung in Prozentpunkten</t>
  </si>
  <si>
    <t>Erwartete Ersparnis je Jahr</t>
  </si>
  <si>
    <t>Umgesetzt am</t>
  </si>
  <si>
    <t>Wirkung gemessen</t>
  </si>
  <si>
    <t>Finanzierungsnachweis der Bank vor der Reservierungsbestätigung verlangen, keine Absichtserklärung des Käufers.</t>
  </si>
  <si>
    <t>Vertriebsleitung</t>
  </si>
  <si>
    <t>in Arbeit</t>
  </si>
  <si>
    <t>Nachlassrahmen mit Stufen und Freigaben vor dem Gespräch festlegen und im Briefing verbindlich machen.</t>
  </si>
  <si>
    <t>umgesetzt</t>
  </si>
  <si>
    <t>Belehrung und Nachweis der Erteilung in die Reservierungsstrecke aufnehmen, Prüfvermerk je Fall.</t>
  </si>
  <si>
    <t>Kaufmännische Leitung</t>
  </si>
  <si>
    <t>offen</t>
  </si>
  <si>
    <t>Bautenstandsbericht monatlich in den Datenraum, Verschiebungen aktiv und schriftlich melden.</t>
  </si>
  <si>
    <t>Projektleitung</t>
  </si>
  <si>
    <t>Reaktionszeit auf Anfragen messen und auf unter 24 Stunden bringen.</t>
  </si>
  <si>
    <t>Die erwartete Wirkung ist eine Annahme und keine Zusage — sie gehört vor der Umsetzung geschätzt und danach an der Spalte „Wirkung gemessen" überprüft. Eine Maßnahmenliste ohne diese letzte Spalte erzeugt jedes Jahr dieselben guten Vorsätze.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</si>
</sst>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 €"/>
    <numFmt numFmtId="166" formatCode="0.0 %"/>
    <numFmt numFmtId="167" formatCode="#,##0.00 €"/>
  </numFmts>
  <fonts count="8" x14ac:knownFonts="1">
    <font>
      <color theme="1"/>
      <family val="2"/>
      <scheme val="minor"/>
      <sz val="11"/>
      <name val="Calibri"/>
    </font>
    <font>
      <color rgb="FF18181B"/>
      <sz val="10"/>
      <name val="Arial"/>
    </font>
    <font>
      <b/>
      <color rgb="FF18181B"/>
      <sz val="20"/>
      <name val="Arial"/>
    </font>
    <font>
      <color rgb="FF6B6B74"/>
      <sz val="11"/>
      <name val="Arial"/>
    </font>
    <font>
      <b/>
      <color rgb="FF6B6B74"/>
      <sz val="10"/>
      <name val="Arial"/>
    </font>
    <font>
      <b/>
      <color rgb="FF18181B"/>
      <sz val="10"/>
      <name val="Arial"/>
    </font>
    <font>
      <color rgb="FF6B6B74"/>
      <sz val="9"/>
      <name val="Arial"/>
    </font>
    <font>
      <b/>
      <color rgb="FFB8461E"/>
      <sz val="10"/>
      <name val="Arial"/>
    </font>
  </fonts>
  <fills count="4">
    <fill>
      <patternFill patternType="none"/>
    </fill>
    <fill>
      <patternFill patternType="gray125"/>
    </fill>
    <fill>
      <patternFill patternType="solid">
        <fgColor rgb="FFFAF7F5"/>
      </patternFill>
    </fill>
    <fill>
      <patternFill patternType="solid">
        <fgColor rgb="FFFDF6F2"/>
      </patternFill>
    </fill>
  </fills>
  <borders count="3">
    <border>
      <left/>
      <right/>
      <top/>
      <bottom/>
      <diagonal/>
    </border>
    <border>
      <left/>
      <right/>
      <top/>
      <bottom style="medium">
        <color rgb="FFB8461E"/>
      </bottom>
      <diagonal/>
    </border>
    <border>
      <left/>
      <right/>
      <top style="thin">
        <color rgb="FFE4E4E8"/>
      </top>
      <bottom/>
      <diagonal/>
    </border>
  </borders>
  <cellStyleXfs count="1">
    <xf numFmtId="0" fontId="0" fillId="0" borderId="0"/>
  </cellStyleXfs>
  <cellXfs count="43">
    <xf numFmtId="0" fontId="0" fillId="0" borderId="0" xfId="0"/>
    <xf numFmtId="0" fontId="1" fillId="0" borderId="0" xfId="0" applyFont="1"/>
    <xf numFmtId="0" fontId="1" fillId="0" borderId="0" xfId="0" applyFont="1" applyAlignment="1">
      <alignment horizontal="left" vertical="top" wrapText="1"/>
    </xf>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applyAlignment="1">
      <alignment vertical="top"/>
    </xf>
    <xf numFmtId="0" fontId="6" fillId="0" borderId="0" xfId="0" applyFont="1" applyAlignment="1">
      <alignment vertical="top" wrapText="1"/>
    </xf>
    <xf numFmtId="0" fontId="5" fillId="2" borderId="1" xfId="0" applyFont="1" applyFill="1" applyBorder="1" applyAlignment="1">
      <alignment vertical="center" wrapText="1"/>
    </xf>
    <xf numFmtId="0" fontId="7" fillId="2" borderId="2" xfId="0" applyFont="1" applyFill="1" applyBorder="1"/>
    <xf numFmtId="0" fontId="1" fillId="2" borderId="2" xfId="0" applyFont="1" applyFill="1" applyBorder="1"/>
    <xf numFmtId="164" fontId="1" fillId="3" borderId="0" xfId="0" applyNumberFormat="1" applyFont="1" applyFill="1" applyAlignment="1" applyProtection="1">
      <alignment vertical="top"/>
      <protection locked="0"/>
    </xf>
    <xf numFmtId="0" fontId="6" fillId="0" borderId="0" xfId="0" applyFont="1" applyAlignment="1">
      <alignment vertical="top" wrapText="1" indent="1"/>
    </xf>
    <xf numFmtId="164" fontId="1" fillId="3" borderId="0" xfId="0" applyNumberFormat="1" applyFont="1" applyFill="1" applyProtection="1">
      <protection locked="0"/>
    </xf>
    <xf numFmtId="3" fontId="1" fillId="3" borderId="0" xfId="0" applyNumberFormat="1" applyFont="1" applyFill="1" applyAlignment="1" applyProtection="1">
      <alignment horizontal="right" vertical="top" indent="1"/>
      <protection locked="0"/>
    </xf>
    <xf numFmtId="165" fontId="1" fillId="3" borderId="0" xfId="0" applyNumberFormat="1" applyFont="1" applyFill="1" applyAlignment="1" applyProtection="1">
      <alignment horizontal="right" vertical="top" indent="1"/>
      <protection locked="0"/>
    </xf>
    <xf numFmtId="166" fontId="1" fillId="3" borderId="0" xfId="0" applyNumberFormat="1" applyFont="1" applyFill="1" applyAlignment="1" applyProtection="1">
      <alignment horizontal="right" vertical="top" indent="1"/>
      <protection locked="0"/>
    </xf>
    <xf numFmtId="3" fontId="1" fillId="0" borderId="0" xfId="0" applyNumberFormat="1" applyFont="1"/>
    <xf numFmtId="164" fontId="1" fillId="0" borderId="0" xfId="0" applyNumberFormat="1" applyFont="1"/>
    <xf numFmtId="167" fontId="1" fillId="0" borderId="0" xfId="0" applyNumberFormat="1" applyFont="1"/>
    <xf numFmtId="166" fontId="1" fillId="0" borderId="0" xfId="0" applyNumberFormat="1" applyFont="1"/>
    <xf numFmtId="3" fontId="5" fillId="2" borderId="1" xfId="0" applyNumberFormat="1" applyFont="1" applyFill="1" applyBorder="1" applyAlignment="1">
      <alignment vertical="center" wrapText="1"/>
    </xf>
    <xf numFmtId="164" fontId="5" fillId="2" borderId="1" xfId="0" applyNumberFormat="1" applyFont="1" applyFill="1" applyBorder="1" applyAlignment="1">
      <alignment vertical="center" wrapText="1"/>
    </xf>
    <xf numFmtId="167" fontId="5" fillId="2" borderId="1" xfId="0" applyNumberFormat="1" applyFont="1" applyFill="1" applyBorder="1" applyAlignment="1">
      <alignment vertical="center" wrapText="1"/>
    </xf>
    <xf numFmtId="166" fontId="5" fillId="2" borderId="1" xfId="0" applyNumberFormat="1" applyFont="1" applyFill="1" applyBorder="1" applyAlignment="1">
      <alignment vertical="center" wrapText="1"/>
    </xf>
    <xf numFmtId="164" fontId="1" fillId="3" borderId="0" xfId="0" applyNumberFormat="1" applyFont="1" applyFill="1" applyAlignment="1" applyProtection="1">
      <alignment horizontal="right" vertical="top" indent="1"/>
      <protection locked="0"/>
    </xf>
    <xf numFmtId="0" fontId="1" fillId="3" borderId="0" xfId="0" applyFont="1" applyFill="1" applyAlignment="1" applyProtection="1">
      <alignment vertical="top" indent="1"/>
      <protection locked="0"/>
    </xf>
    <xf numFmtId="167" fontId="1" fillId="3" borderId="0" xfId="0" applyNumberFormat="1" applyFont="1" applyFill="1" applyAlignment="1" applyProtection="1">
      <alignment horizontal="right" vertical="top" indent="1"/>
      <protection locked="0"/>
    </xf>
    <xf numFmtId="167" fontId="1" fillId="0" borderId="0" xfId="0" applyNumberFormat="1" applyFont="1" applyAlignment="1" applyProtection="1">
      <alignment horizontal="right" vertical="top" indent="1"/>
    </xf>
    <xf numFmtId="3" fontId="1" fillId="0" borderId="0" xfId="0" applyNumberFormat="1" applyFont="1" applyAlignment="1" applyProtection="1">
      <alignment horizontal="right" vertical="top" indent="1"/>
    </xf>
    <xf numFmtId="0" fontId="1" fillId="0" borderId="0" xfId="0" applyFont="1" applyAlignment="1" applyProtection="1">
      <alignment vertical="top" indent="2"/>
    </xf>
    <xf numFmtId="3" fontId="5" fillId="0" borderId="0" xfId="0" applyNumberFormat="1" applyFont="1"/>
    <xf numFmtId="167" fontId="5" fillId="0" borderId="0" xfId="0" applyNumberFormat="1" applyFont="1" applyAlignment="1" applyProtection="1">
      <alignment horizontal="right" vertical="top" indent="1"/>
    </xf>
    <xf numFmtId="3" fontId="1" fillId="0" borderId="0" xfId="0" applyNumberFormat="1" applyFont="1" applyAlignment="1">
      <alignment vertical="top"/>
    </xf>
    <xf numFmtId="164" fontId="1" fillId="0" borderId="0" xfId="0" applyNumberFormat="1" applyFont="1" applyAlignment="1">
      <alignment vertical="top"/>
    </xf>
    <xf numFmtId="0" fontId="1" fillId="0" borderId="0" xfId="0" applyFont="1" applyAlignment="1">
      <alignment vertical="top" indent="1"/>
    </xf>
    <xf numFmtId="166" fontId="1" fillId="0" borderId="0" xfId="0" applyNumberFormat="1" applyFont="1" applyAlignment="1" applyProtection="1">
      <alignment horizontal="right" vertical="top" indent="1"/>
    </xf>
    <xf numFmtId="0" fontId="1" fillId="0" borderId="0" xfId="0" applyFont="1" applyAlignment="1" applyProtection="1">
      <alignment horizontal="right" vertical="top" indent="1"/>
    </xf>
    <xf numFmtId="0" fontId="1" fillId="0" borderId="0" xfId="0" applyFont="1" applyAlignment="1">
      <alignment vertical="top" wrapText="1" indent="2"/>
    </xf>
    <xf numFmtId="3" fontId="5" fillId="0" borderId="0" xfId="0" applyNumberFormat="1" applyFont="1" applyAlignment="1" applyProtection="1">
      <alignment horizontal="right" vertical="top" indent="1"/>
    </xf>
    <xf numFmtId="166" fontId="5" fillId="0" borderId="0" xfId="0" applyNumberFormat="1" applyFont="1" applyAlignment="1" applyProtection="1">
      <alignment horizontal="right" vertical="top" indent="1"/>
    </xf>
    <xf numFmtId="0" fontId="1" fillId="3" borderId="0" xfId="0" applyFont="1" applyFill="1" applyAlignment="1" applyProtection="1">
      <alignment vertical="top" wrapText="1" inden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238250" cy="4953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showGridLines="0"/>
  </sheetViews>
  <sheetFormatPr defaultRowHeight="15" outlineLevelRow="0" outlineLevelCol="0" x14ac:dyDescent="55"/>
  <cols>
    <col min="1" max="1" width="24" style="1" customWidth="1"/>
    <col min="2" max="2" width="62" style="2" customWidth="1"/>
  </cols>
  <sheetData>
    <row r="1" ht="44" customHeight="1" x14ac:dyDescent="0.25"/>
    <row r="4" spans="1:1" x14ac:dyDescent="0.25">
      <c r="A4" s="3" t="s">
        <v>0</v>
      </c>
    </row>
    <row r="5" spans="1:1" x14ac:dyDescent="0.25">
      <c r="A5" s="4" t="s">
        <v>1</v>
      </c>
    </row>
    <row r="7" spans="1:2" x14ac:dyDescent="0.25">
      <c r="A7" s="5" t="s">
        <v>2</v>
      </c>
      <c r="B7" s="2" t="s">
        <v>3</v>
      </c>
    </row>
    <row r="8" spans="1:2" x14ac:dyDescent="0.25">
      <c r="A8" s="5" t="s">
        <v>4</v>
      </c>
      <c r="B8" s="2">
        <v>1</v>
      </c>
    </row>
    <row r="9" spans="1:2" x14ac:dyDescent="0.25">
      <c r="A9" s="5" t="s">
        <v>5</v>
      </c>
      <c r="B9" s="2" t="s">
        <v>6</v>
      </c>
    </row>
    <row r="11" spans="1:1" x14ac:dyDescent="0.25">
      <c r="A11" s="6" t="s">
        <v>7</v>
      </c>
    </row>
    <row r="12" ht="13" customHeight="1" spans="1:2" x14ac:dyDescent="0.25">
      <c r="A12" s="7" t="s">
        <v>8</v>
      </c>
      <c r="B12" s="2" t="s">
        <v>9</v>
      </c>
    </row>
    <row r="13" ht="23.5" customHeight="1" spans="1:2" x14ac:dyDescent="0.25">
      <c r="A13" s="7" t="s">
        <v>10</v>
      </c>
      <c r="B13" s="2" t="s">
        <v>11</v>
      </c>
    </row>
    <row r="14" ht="13" customHeight="1" spans="1:2" x14ac:dyDescent="0.25">
      <c r="A14" s="7" t="s">
        <v>12</v>
      </c>
      <c r="B14" s="2" t="s">
        <v>13</v>
      </c>
    </row>
    <row r="15" ht="13" customHeight="1" spans="1:2" x14ac:dyDescent="0.25">
      <c r="A15" s="7" t="s">
        <v>14</v>
      </c>
      <c r="B15" s="2" t="s">
        <v>15</v>
      </c>
    </row>
    <row r="16" ht="23.5" customHeight="1" spans="1:2" x14ac:dyDescent="0.25">
      <c r="A16" s="7" t="s">
        <v>16</v>
      </c>
      <c r="B16" s="2" t="s">
        <v>17</v>
      </c>
    </row>
    <row r="17" ht="13" customHeight="1" spans="1:2" x14ac:dyDescent="0.25">
      <c r="A17" s="7" t="s">
        <v>18</v>
      </c>
      <c r="B17" s="2" t="s">
        <v>3</v>
      </c>
    </row>
    <row r="19" ht="46" customHeight="1" spans="1:2" x14ac:dyDescent="0.25">
      <c r="A19" s="8" t="s">
        <v>19</v>
      </c>
      <c r="B19" s="8"/>
    </row>
  </sheetData>
  <sheetProtection sheet="1" insertRows="0" deleteRows="0" sort="0" autoFilter="0"/>
  <mergeCells count="1">
    <mergeCell ref="A19:B19"/>
  </mergeCells>
  <pageMargins left="0.6" right="0.4" top="0.6" bottom="0.6" header="0.3" footer="0.3"/>
  <pageSetup paperSize="9" orientation="portrait" horizontalDpi="4294967295" verticalDpi="4294967295" scale="100" fitToWidth="1"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Views>
    <sheetView workbookViewId="0">
      <pane ySplit="1" topLeftCell="A2" activePane="bottomLeft" state="frozen"/>
      <selection pane="bottomLeft"/>
    </sheetView>
  </sheetViews>
  <sheetFormatPr defaultRowHeight="15" outlineLevelRow="0" outlineLevelCol="0" x14ac:dyDescent="55"/>
  <cols>
    <col min="1" max="1" width="44" style="1" customWidth="1"/>
    <col min="2" max="2" width="16" style="1" customWidth="1"/>
    <col min="3" max="3" width="76" style="1" customWidth="1"/>
  </cols>
  <sheetData>
    <row r="1" ht="22" customHeight="1" spans="1:3" x14ac:dyDescent="0.25">
      <c r="A1" s="9" t="s">
        <v>20</v>
      </c>
      <c r="B1" s="9" t="s">
        <v>21</v>
      </c>
      <c r="C1" s="9" t="s">
        <v>22</v>
      </c>
    </row>
    <row r="3" spans="1:3" x14ac:dyDescent="0.25">
      <c r="A3" s="10" t="s">
        <v>23</v>
      </c>
      <c r="B3" s="11"/>
      <c r="C3" s="11"/>
    </row>
    <row r="4" ht="13" customHeight="1" spans="1:3" x14ac:dyDescent="0.25">
      <c r="A4" s="7" t="s">
        <v>24</v>
      </c>
      <c r="B4" s="12">
        <v>46250</v>
      </c>
      <c r="C4" s="13" t="s">
        <v>25</v>
      </c>
    </row>
    <row r="5" spans="1:2" x14ac:dyDescent="0.25">
      <c r="A5" s="1" t="s">
        <v>26</v>
      </c>
      <c r="B5" s="14">
        <v>46023</v>
      </c>
    </row>
    <row r="6" ht="23.5" customHeight="1" spans="1:3" x14ac:dyDescent="0.25">
      <c r="A6" s="7" t="s">
        <v>27</v>
      </c>
      <c r="B6" s="12">
        <v>46249</v>
      </c>
      <c r="C6" s="13" t="s">
        <v>28</v>
      </c>
    </row>
    <row r="7" spans="1:3" x14ac:dyDescent="0.25">
      <c r="A7" s="10" t="s">
        <v>12</v>
      </c>
      <c r="B7" s="11"/>
      <c r="C7" s="11"/>
    </row>
    <row r="8" ht="23.5" customHeight="1" spans="1:3" x14ac:dyDescent="0.25">
      <c r="A8" s="7" t="s">
        <v>29</v>
      </c>
      <c r="B8" s="15">
        <v>62</v>
      </c>
      <c r="C8" s="13" t="s">
        <v>30</v>
      </c>
    </row>
    <row r="9" ht="23.5" customHeight="1" spans="1:3" x14ac:dyDescent="0.25">
      <c r="A9" s="7" t="s">
        <v>31</v>
      </c>
      <c r="B9" s="16">
        <v>12000</v>
      </c>
      <c r="C9" s="13" t="s">
        <v>32</v>
      </c>
    </row>
    <row r="10" ht="23.5" customHeight="1" spans="1:3" x14ac:dyDescent="0.25">
      <c r="A10" s="7" t="s">
        <v>33</v>
      </c>
      <c r="B10" s="17">
        <v>0.08</v>
      </c>
      <c r="C10" s="13" t="s">
        <v>34</v>
      </c>
    </row>
    <row r="12" ht="23.5" customHeight="1" spans="1:3" x14ac:dyDescent="0.25">
      <c r="A12" s="13" t="s">
        <v>35</v>
      </c>
      <c r="B12" s="13"/>
      <c r="C12" s="13"/>
    </row>
  </sheetData>
  <sheetProtection sheet="1" insertRows="0" deleteRows="0" sort="0" autoFilter="0"/>
  <autoFilter ref="A1:C1"/>
  <mergeCells count="1">
    <mergeCell ref="A12:C12"/>
  </mergeCells>
  <dataValidations count="3">
    <dataValidation type="decimal" allowBlank="1" showErrorMessage="1" errorTitle="Wert außerhalb des Bereichs" error="Zulässig sind Werte zwischen 0 und 1." sqref="B10">
      <formula1>0</formula1>
      <formula2>1</formula2>
    </dataValidation>
    <dataValidation type="decimal" allowBlank="1" showErrorMessage="1" errorTitle="Wert außerhalb des Bereichs" error="Zulässig sind Werte zwischen 1 und 100000." sqref="B8">
      <formula1>1</formula1>
      <formula2>100000</formula2>
    </dataValidation>
    <dataValidation type="decimal" allowBlank="1" showErrorMessage="1" errorTitle="Wert außerhalb des Bereichs" error="Zulässig sind Werte zwischen 0 und 1000000." sqref="B9">
      <formula1>0</formula1>
      <formula2>1000000</formula2>
    </dataValidation>
  </dataValidations>
  <pageMargins left="0.6" right="0.4" top="0.6" bottom="0.6" header="0.3" footer="0.3"/>
  <pageSetup paperSize="9" orientation="portrait" horizontalDpi="4294967295" verticalDpi="4294967295" scale="100"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workbookViewId="0">
      <pane ySplit="1" topLeftCell="A2" activePane="bottomLeft" state="frozen"/>
      <selection pane="bottomLeft"/>
    </sheetView>
  </sheetViews>
  <sheetFormatPr defaultRowHeight="15" outlineLevelRow="0" outlineLevelCol="0" x14ac:dyDescent="55"/>
  <cols>
    <col min="1" max="1" width="6" style="18" customWidth="1"/>
    <col min="2" max="2" width="13" style="19" customWidth="1"/>
    <col min="3" max="3" width="26" style="1" customWidth="1"/>
    <col min="4" max="4" width="11" style="1" customWidth="1"/>
    <col min="5" max="5" width="12" style="1" customWidth="1"/>
    <col min="6" max="6" width="15" style="20" customWidth="1"/>
    <col min="7" max="7" width="12" style="21" customWidth="1"/>
    <col min="8" max="8" width="14" style="20" customWidth="1"/>
    <col min="9" max="9" width="20" style="1" customWidth="1"/>
    <col min="10" max="10" width="26" style="1" customWidth="1"/>
    <col min="11" max="11" width="12" style="1" customWidth="1"/>
    <col min="12" max="12" width="14" style="19" customWidth="1"/>
    <col min="13" max="13" width="12" style="18" customWidth="1"/>
    <col min="14" max="15" width="14" style="20" customWidth="1"/>
    <col min="16" max="16" width="16" style="20" customWidth="1"/>
    <col min="17" max="17" width="12" style="1" customWidth="1"/>
    <col min="18" max="18" width="22" style="1" customWidth="1"/>
  </cols>
  <sheetData>
    <row r="1" ht="44" customHeight="1" spans="1:18" x14ac:dyDescent="0.25">
      <c r="A1" s="22" t="s">
        <v>36</v>
      </c>
      <c r="B1" s="23" t="s">
        <v>37</v>
      </c>
      <c r="C1" s="9" t="s">
        <v>38</v>
      </c>
      <c r="D1" s="9" t="s">
        <v>39</v>
      </c>
      <c r="E1" s="9" t="s">
        <v>40</v>
      </c>
      <c r="F1" s="24" t="s">
        <v>41</v>
      </c>
      <c r="G1" s="25" t="s">
        <v>42</v>
      </c>
      <c r="H1" s="24" t="s">
        <v>43</v>
      </c>
      <c r="I1" s="9" t="s">
        <v>44</v>
      </c>
      <c r="J1" s="9" t="s">
        <v>45</v>
      </c>
      <c r="K1" s="9" t="s">
        <v>46</v>
      </c>
      <c r="L1" s="23" t="s">
        <v>47</v>
      </c>
      <c r="M1" s="22" t="s">
        <v>48</v>
      </c>
      <c r="N1" s="24" t="s">
        <v>49</v>
      </c>
      <c r="O1" s="24" t="s">
        <v>50</v>
      </c>
      <c r="P1" s="24" t="s">
        <v>51</v>
      </c>
      <c r="Q1" s="9" t="s">
        <v>52</v>
      </c>
      <c r="R1" s="9" t="s">
        <v>53</v>
      </c>
    </row>
    <row r="2" spans="1:18" x14ac:dyDescent="0.25">
      <c r="A2" s="15">
        <v>1</v>
      </c>
      <c r="B2" s="26">
        <v>46067</v>
      </c>
      <c r="C2" s="27" t="s">
        <v>54</v>
      </c>
      <c r="D2" s="27" t="s">
        <v>55</v>
      </c>
      <c r="E2" s="27" t="s">
        <v>56</v>
      </c>
      <c r="F2" s="28">
        <v>372000</v>
      </c>
      <c r="G2" s="17">
        <v>0.03</v>
      </c>
      <c r="H2" s="29">
        <f>IF(OR($F2="",$G2=""),"",ROUND($F2*$G2,2))</f>
        <v>11160</v>
      </c>
      <c r="I2" s="27" t="s">
        <v>57</v>
      </c>
      <c r="J2" s="27" t="s">
        <v>58</v>
      </c>
      <c r="K2" s="27" t="s">
        <v>59</v>
      </c>
      <c r="L2" s="26"/>
      <c r="M2" s="30" t="str">
        <f>IF(OR($L2="",$B2=""),"",$B2-$L2)</f>
        <v/>
      </c>
      <c r="N2" s="28">
        <v>0</v>
      </c>
      <c r="O2" s="28">
        <v>1200</v>
      </c>
      <c r="P2" s="29">
        <f>IF($H2="","",ROUND($H2+$O2,2))</f>
        <v>12360</v>
      </c>
      <c r="Q2" s="27" t="s">
        <v>60</v>
      </c>
      <c r="R2" s="31" t="str">
        <f>IF($B2="","",IF($J2="","Ursache fehlt",IF($K2="","Vermeidbarkeit offen",IF(AND($K2&lt;&gt;"nein",$Q2=""),"Maßnahme fehlt","dokumentiert"))))</f>
        <v>dokumentiert</v>
      </c>
    </row>
    <row r="3" spans="1:18" x14ac:dyDescent="0.25">
      <c r="A3" s="15">
        <v>2</v>
      </c>
      <c r="B3" s="26">
        <v>46083</v>
      </c>
      <c r="C3" s="27" t="s">
        <v>54</v>
      </c>
      <c r="D3" s="27" t="s">
        <v>61</v>
      </c>
      <c r="E3" s="27" t="s">
        <v>62</v>
      </c>
      <c r="F3" s="28">
        <v>448000</v>
      </c>
      <c r="G3" s="17">
        <v>0.03</v>
      </c>
      <c r="H3" s="29">
        <f>IF(OR($F3="",$G3=""),"",ROUND($F3*$G3,2))</f>
        <v>13440</v>
      </c>
      <c r="I3" s="27" t="s">
        <v>63</v>
      </c>
      <c r="J3" s="27" t="s">
        <v>64</v>
      </c>
      <c r="K3" s="27" t="s">
        <v>59</v>
      </c>
      <c r="L3" s="26"/>
      <c r="M3" s="30" t="str">
        <f>IF(OR($L3="",$B3=""),"",$B3-$L3)</f>
        <v/>
      </c>
      <c r="N3" s="28">
        <v>0</v>
      </c>
      <c r="O3" s="28">
        <v>800</v>
      </c>
      <c r="P3" s="29">
        <f>IF($H3="","",ROUND($H3+$O3,2))</f>
        <v>14240</v>
      </c>
      <c r="Q3" s="27" t="s">
        <v>60</v>
      </c>
      <c r="R3" s="31" t="str">
        <f>IF($B3="","",IF($J3="","Ursache fehlt",IF($K3="","Vermeidbarkeit offen",IF(AND($K3&lt;&gt;"nein",$Q3=""),"Maßnahme fehlt","dokumentiert"))))</f>
        <v>dokumentiert</v>
      </c>
    </row>
    <row r="4" spans="1:18" x14ac:dyDescent="0.25">
      <c r="A4" s="15">
        <v>3</v>
      </c>
      <c r="B4" s="26">
        <v>46109</v>
      </c>
      <c r="C4" s="27" t="s">
        <v>65</v>
      </c>
      <c r="D4" s="27" t="s">
        <v>66</v>
      </c>
      <c r="E4" s="27" t="s">
        <v>67</v>
      </c>
      <c r="F4" s="28">
        <v>315000</v>
      </c>
      <c r="G4" s="17">
        <v>0.03</v>
      </c>
      <c r="H4" s="29">
        <f>IF(OR($F4="",$G4=""),"",ROUND($F4*$G4,2))</f>
        <v>9450</v>
      </c>
      <c r="I4" s="27" t="s">
        <v>68</v>
      </c>
      <c r="J4" s="27" t="s">
        <v>69</v>
      </c>
      <c r="K4" s="27" t="s">
        <v>70</v>
      </c>
      <c r="L4" s="26">
        <v>46101</v>
      </c>
      <c r="M4" s="30">
        <f>IF(OR($L4="",$B4=""),"",$B4-$L4)</f>
        <v>8</v>
      </c>
      <c r="N4" s="28">
        <v>0</v>
      </c>
      <c r="O4" s="28">
        <v>2400</v>
      </c>
      <c r="P4" s="29">
        <f>IF($H4="","",ROUND($H4+$O4,2))</f>
        <v>11850</v>
      </c>
      <c r="Q4" s="27" t="s">
        <v>71</v>
      </c>
      <c r="R4" s="31" t="str">
        <f>IF($B4="","",IF($J4="","Ursache fehlt",IF($K4="","Vermeidbarkeit offen",IF(AND($K4&lt;&gt;"nein",$Q4=""),"Maßnahme fehlt","dokumentiert"))))</f>
        <v>dokumentiert</v>
      </c>
    </row>
    <row r="5" spans="1:18" x14ac:dyDescent="0.25">
      <c r="A5" s="15">
        <v>4</v>
      </c>
      <c r="B5" s="26">
        <v>46131</v>
      </c>
      <c r="C5" s="27" t="s">
        <v>54</v>
      </c>
      <c r="D5" s="27" t="s">
        <v>72</v>
      </c>
      <c r="E5" s="27" t="s">
        <v>73</v>
      </c>
      <c r="F5" s="28">
        <v>528000</v>
      </c>
      <c r="G5" s="17">
        <v>0.03</v>
      </c>
      <c r="H5" s="29">
        <f>IF(OR($F5="",$G5=""),"",ROUND($F5*$G5,2))</f>
        <v>15840</v>
      </c>
      <c r="I5" s="27" t="s">
        <v>57</v>
      </c>
      <c r="J5" s="27" t="s">
        <v>74</v>
      </c>
      <c r="K5" s="27" t="s">
        <v>59</v>
      </c>
      <c r="L5" s="26"/>
      <c r="M5" s="30" t="str">
        <f>IF(OR($L5="",$B5=""),"",$B5-$L5)</f>
        <v/>
      </c>
      <c r="N5" s="28">
        <v>0</v>
      </c>
      <c r="O5" s="28">
        <v>900</v>
      </c>
      <c r="P5" s="29">
        <f>IF($H5="","",ROUND($H5+$O5,2))</f>
        <v>16740</v>
      </c>
      <c r="Q5" s="27" t="s">
        <v>75</v>
      </c>
      <c r="R5" s="31" t="str">
        <f>IF($B5="","",IF($J5="","Ursache fehlt",IF($K5="","Vermeidbarkeit offen",IF(AND($K5&lt;&gt;"nein",$Q5=""),"Maßnahme fehlt","dokumentiert"))))</f>
        <v>dokumentiert</v>
      </c>
    </row>
    <row r="6" spans="1:18" x14ac:dyDescent="0.25">
      <c r="A6" s="15">
        <v>5</v>
      </c>
      <c r="B6" s="26">
        <v>46150</v>
      </c>
      <c r="C6" s="27" t="s">
        <v>65</v>
      </c>
      <c r="D6" s="27" t="s">
        <v>76</v>
      </c>
      <c r="E6" s="27" t="s">
        <v>77</v>
      </c>
      <c r="F6" s="28">
        <v>289000</v>
      </c>
      <c r="G6" s="17">
        <v>0.03</v>
      </c>
      <c r="H6" s="29">
        <f>IF(OR($F6="",$G6=""),"",ROUND($F6*$G6,2))</f>
        <v>8670</v>
      </c>
      <c r="I6" s="27" t="s">
        <v>63</v>
      </c>
      <c r="J6" s="27" t="s">
        <v>58</v>
      </c>
      <c r="K6" s="27" t="s">
        <v>59</v>
      </c>
      <c r="L6" s="26"/>
      <c r="M6" s="30" t="str">
        <f>IF(OR($L6="",$B6=""),"",$B6-$L6)</f>
        <v/>
      </c>
      <c r="N6" s="28">
        <v>0</v>
      </c>
      <c r="O6" s="28">
        <v>700</v>
      </c>
      <c r="P6" s="29">
        <f>IF($H6="","",ROUND($H6+$O6,2))</f>
        <v>9370</v>
      </c>
      <c r="Q6" s="27" t="s">
        <v>60</v>
      </c>
      <c r="R6" s="31" t="str">
        <f>IF($B6="","",IF($J6="","Ursache fehlt",IF($K6="","Vermeidbarkeit offen",IF(AND($K6&lt;&gt;"nein",$Q6=""),"Maßnahme fehlt","dokumentiert"))))</f>
        <v>dokumentiert</v>
      </c>
    </row>
    <row r="7" spans="1:18" x14ac:dyDescent="0.25">
      <c r="A7" s="15">
        <v>6</v>
      </c>
      <c r="B7" s="26">
        <v>46172</v>
      </c>
      <c r="C7" s="27" t="s">
        <v>54</v>
      </c>
      <c r="D7" s="27" t="s">
        <v>78</v>
      </c>
      <c r="E7" s="27" t="s">
        <v>79</v>
      </c>
      <c r="F7" s="28">
        <v>402000</v>
      </c>
      <c r="G7" s="17">
        <v>0.03</v>
      </c>
      <c r="H7" s="29">
        <f>IF(OR($F7="",$G7=""),"",ROUND($F7*$G7,2))</f>
        <v>12060</v>
      </c>
      <c r="I7" s="27" t="s">
        <v>68</v>
      </c>
      <c r="J7" s="27" t="s">
        <v>80</v>
      </c>
      <c r="K7" s="27" t="s">
        <v>70</v>
      </c>
      <c r="L7" s="26">
        <v>46122</v>
      </c>
      <c r="M7" s="30">
        <f>IF(OR($L7="",$B7=""),"",$B7-$L7)</f>
        <v>50</v>
      </c>
      <c r="N7" s="28">
        <v>3200</v>
      </c>
      <c r="O7" s="28">
        <v>3100</v>
      </c>
      <c r="P7" s="29">
        <f>IF($H7="","",ROUND($H7+$O7,2))</f>
        <v>15160</v>
      </c>
      <c r="Q7" s="27" t="s">
        <v>81</v>
      </c>
      <c r="R7" s="31" t="str">
        <f>IF($B7="","",IF($J7="","Ursache fehlt",IF($K7="","Vermeidbarkeit offen",IF(AND($K7&lt;&gt;"nein",$Q7=""),"Maßnahme fehlt","dokumentiert"))))</f>
        <v>dokumentiert</v>
      </c>
    </row>
    <row r="8" spans="1:18" x14ac:dyDescent="0.25">
      <c r="A8" s="15">
        <v>7</v>
      </c>
      <c r="B8" s="26">
        <v>46194</v>
      </c>
      <c r="C8" s="27" t="s">
        <v>65</v>
      </c>
      <c r="D8" s="27" t="s">
        <v>82</v>
      </c>
      <c r="E8" s="27" t="s">
        <v>83</v>
      </c>
      <c r="F8" s="28">
        <v>356000</v>
      </c>
      <c r="G8" s="17">
        <v>0.03</v>
      </c>
      <c r="H8" s="29">
        <f>IF(OR($F8="",$G8=""),"",ROUND($F8*$G8,2))</f>
        <v>10680</v>
      </c>
      <c r="I8" s="27" t="s">
        <v>57</v>
      </c>
      <c r="J8" s="27" t="s">
        <v>84</v>
      </c>
      <c r="K8" s="27" t="s">
        <v>59</v>
      </c>
      <c r="L8" s="26"/>
      <c r="M8" s="30" t="str">
        <f>IF(OR($L8="",$B8=""),"",$B8-$L8)</f>
        <v/>
      </c>
      <c r="N8" s="28">
        <v>0</v>
      </c>
      <c r="O8" s="28">
        <v>600</v>
      </c>
      <c r="P8" s="29">
        <f>IF($H8="","",ROUND($H8+$O8,2))</f>
        <v>11280</v>
      </c>
      <c r="Q8" s="27" t="s">
        <v>85</v>
      </c>
      <c r="R8" s="31" t="str">
        <f>IF($B8="","",IF($J8="","Ursache fehlt",IF($K8="","Vermeidbarkeit offen",IF(AND($K8&lt;&gt;"nein",$Q8=""),"Maßnahme fehlt","dokumentiert"))))</f>
        <v>dokumentiert</v>
      </c>
    </row>
    <row r="9" spans="1:18" x14ac:dyDescent="0.25">
      <c r="A9" s="15">
        <v>8</v>
      </c>
      <c r="B9" s="26">
        <v>46214</v>
      </c>
      <c r="C9" s="27" t="s">
        <v>54</v>
      </c>
      <c r="D9" s="27" t="s">
        <v>86</v>
      </c>
      <c r="E9" s="27" t="s">
        <v>87</v>
      </c>
      <c r="F9" s="28">
        <v>611000</v>
      </c>
      <c r="G9" s="17">
        <v>0.03</v>
      </c>
      <c r="H9" s="29">
        <f>IF(OR($F9="",$G9=""),"",ROUND($F9*$G9,2))</f>
        <v>18330</v>
      </c>
      <c r="I9" s="27" t="s">
        <v>63</v>
      </c>
      <c r="J9" s="27" t="s">
        <v>58</v>
      </c>
      <c r="K9" s="27" t="s">
        <v>59</v>
      </c>
      <c r="L9" s="26"/>
      <c r="M9" s="30" t="str">
        <f>IF(OR($L9="",$B9=""),"",$B9-$L9)</f>
        <v/>
      </c>
      <c r="N9" s="28">
        <v>0</v>
      </c>
      <c r="O9" s="28">
        <v>1500</v>
      </c>
      <c r="P9" s="29">
        <f>IF($H9="","",ROUND($H9+$O9,2))</f>
        <v>19830</v>
      </c>
      <c r="Q9" s="27" t="s">
        <v>60</v>
      </c>
      <c r="R9" s="31" t="str">
        <f>IF($B9="","",IF($J9="","Ursache fehlt",IF($K9="","Vermeidbarkeit offen",IF(AND($K9&lt;&gt;"nein",$Q9=""),"Maßnahme fehlt","dokumentiert"))))</f>
        <v>dokumentiert</v>
      </c>
    </row>
    <row r="10" spans="1:18" x14ac:dyDescent="0.25">
      <c r="A10" s="15">
        <v>9</v>
      </c>
      <c r="B10" s="26">
        <v>46235</v>
      </c>
      <c r="C10" s="27" t="s">
        <v>65</v>
      </c>
      <c r="D10" s="27" t="s">
        <v>72</v>
      </c>
      <c r="E10" s="27" t="s">
        <v>88</v>
      </c>
      <c r="F10" s="28">
        <v>334000</v>
      </c>
      <c r="G10" s="17">
        <v>0.03</v>
      </c>
      <c r="H10" s="29">
        <f>IF(OR($F10="",$G10=""),"",ROUND($F10*$G10,2))</f>
        <v>10020</v>
      </c>
      <c r="I10" s="27" t="s">
        <v>57</v>
      </c>
      <c r="J10" s="27" t="s">
        <v>89</v>
      </c>
      <c r="K10" s="27" t="s">
        <v>90</v>
      </c>
      <c r="L10" s="26"/>
      <c r="M10" s="30" t="str">
        <f>IF(OR($L10="",$B10=""),"",$B10-$L10)</f>
        <v/>
      </c>
      <c r="N10" s="28">
        <v>0</v>
      </c>
      <c r="O10" s="28">
        <v>500</v>
      </c>
      <c r="P10" s="29">
        <f>IF($H10="","",ROUND($H10+$O10,2))</f>
        <v>10520</v>
      </c>
      <c r="Q10" s="27" t="s">
        <v>91</v>
      </c>
      <c r="R10" s="31" t="str">
        <f>IF($B10="","",IF($J10="","Ursache fehlt",IF($K10="","Vermeidbarkeit offen",IF(AND($K10&lt;&gt;"nein",$Q10=""),"Maßnahme fehlt","dokumentiert"))))</f>
        <v>dokumentiert</v>
      </c>
    </row>
    <row r="11" spans="1:18" x14ac:dyDescent="0.25">
      <c r="A11" s="15"/>
      <c r="B11" s="26"/>
      <c r="C11" s="27"/>
      <c r="D11" s="27"/>
      <c r="E11" s="27"/>
      <c r="F11" s="28"/>
      <c r="G11" s="17"/>
      <c r="H11" s="29" t="str">
        <f>IF(OR($F11="",$G11=""),"",ROUND($F11*$G11,2))</f>
        <v/>
      </c>
      <c r="I11" s="27"/>
      <c r="J11" s="27"/>
      <c r="K11" s="27"/>
      <c r="L11" s="26"/>
      <c r="M11" s="30" t="str">
        <f>IF(OR($L11="",$B11=""),"",$B11-$L11)</f>
        <v/>
      </c>
      <c r="N11" s="28"/>
      <c r="O11" s="28"/>
      <c r="P11" s="29" t="str">
        <f>IF($H11="","",ROUND($H11+$O11,2))</f>
        <v/>
      </c>
      <c r="Q11" s="27"/>
      <c r="R11" s="31" t="str">
        <f>IF($B11="","",IF($J11="","Ursache fehlt",IF($K11="","Vermeidbarkeit offen",IF(AND($K11&lt;&gt;"nein",$Q11=""),"Maßnahme fehlt","dokumentiert"))))</f>
        <v/>
      </c>
    </row>
    <row r="12" spans="1:18" x14ac:dyDescent="0.25">
      <c r="A12" s="15"/>
      <c r="B12" s="26"/>
      <c r="C12" s="27"/>
      <c r="D12" s="27"/>
      <c r="E12" s="27"/>
      <c r="F12" s="28"/>
      <c r="G12" s="17"/>
      <c r="H12" s="29" t="str">
        <f>IF(OR($F12="",$G12=""),"",ROUND($F12*$G12,2))</f>
        <v/>
      </c>
      <c r="I12" s="27"/>
      <c r="J12" s="27"/>
      <c r="K12" s="27"/>
      <c r="L12" s="26"/>
      <c r="M12" s="30" t="str">
        <f>IF(OR($L12="",$B12=""),"",$B12-$L12)</f>
        <v/>
      </c>
      <c r="N12" s="28"/>
      <c r="O12" s="28"/>
      <c r="P12" s="29" t="str">
        <f>IF($H12="","",ROUND($H12+$O12,2))</f>
        <v/>
      </c>
      <c r="Q12" s="27"/>
      <c r="R12" s="31" t="str">
        <f>IF($B12="","",IF($J12="","Ursache fehlt",IF($K12="","Vermeidbarkeit offen",IF(AND($K12&lt;&gt;"nein",$Q12=""),"Maßnahme fehlt","dokumentiert"))))</f>
        <v/>
      </c>
    </row>
    <row r="13" spans="1:18" x14ac:dyDescent="0.25">
      <c r="A13" s="15"/>
      <c r="B13" s="26"/>
      <c r="C13" s="27"/>
      <c r="D13" s="27"/>
      <c r="E13" s="27"/>
      <c r="F13" s="28"/>
      <c r="G13" s="17"/>
      <c r="H13" s="29" t="str">
        <f>IF(OR($F13="",$G13=""),"",ROUND($F13*$G13,2))</f>
        <v/>
      </c>
      <c r="I13" s="27"/>
      <c r="J13" s="27"/>
      <c r="K13" s="27"/>
      <c r="L13" s="26"/>
      <c r="M13" s="30" t="str">
        <f>IF(OR($L13="",$B13=""),"",$B13-$L13)</f>
        <v/>
      </c>
      <c r="N13" s="28"/>
      <c r="O13" s="28"/>
      <c r="P13" s="29" t="str">
        <f>IF($H13="","",ROUND($H13+$O13,2))</f>
        <v/>
      </c>
      <c r="Q13" s="27"/>
      <c r="R13" s="31" t="str">
        <f>IF($B13="","",IF($J13="","Ursache fehlt",IF($K13="","Vermeidbarkeit offen",IF(AND($K13&lt;&gt;"nein",$Q13=""),"Maßnahme fehlt","dokumentiert"))))</f>
        <v/>
      </c>
    </row>
    <row r="14" spans="1:18" x14ac:dyDescent="0.25">
      <c r="A14" s="15"/>
      <c r="B14" s="26"/>
      <c r="C14" s="27"/>
      <c r="D14" s="27"/>
      <c r="E14" s="27"/>
      <c r="F14" s="28"/>
      <c r="G14" s="17"/>
      <c r="H14" s="29" t="str">
        <f>IF(OR($F14="",$G14=""),"",ROUND($F14*$G14,2))</f>
        <v/>
      </c>
      <c r="I14" s="27"/>
      <c r="J14" s="27"/>
      <c r="K14" s="27"/>
      <c r="L14" s="26"/>
      <c r="M14" s="30" t="str">
        <f>IF(OR($L14="",$B14=""),"",$B14-$L14)</f>
        <v/>
      </c>
      <c r="N14" s="28"/>
      <c r="O14" s="28"/>
      <c r="P14" s="29" t="str">
        <f>IF($H14="","",ROUND($H14+$O14,2))</f>
        <v/>
      </c>
      <c r="Q14" s="27"/>
      <c r="R14" s="31" t="str">
        <f>IF($B14="","",IF($J14="","Ursache fehlt",IF($K14="","Vermeidbarkeit offen",IF(AND($K14&lt;&gt;"nein",$Q14=""),"Maßnahme fehlt","dokumentiert"))))</f>
        <v/>
      </c>
    </row>
    <row r="15" spans="1:18" x14ac:dyDescent="0.25">
      <c r="A15" s="15"/>
      <c r="B15" s="26"/>
      <c r="C15" s="27"/>
      <c r="D15" s="27"/>
      <c r="E15" s="27"/>
      <c r="F15" s="28"/>
      <c r="G15" s="17"/>
      <c r="H15" s="29" t="str">
        <f>IF(OR($F15="",$G15=""),"",ROUND($F15*$G15,2))</f>
        <v/>
      </c>
      <c r="I15" s="27"/>
      <c r="J15" s="27"/>
      <c r="K15" s="27"/>
      <c r="L15" s="26"/>
      <c r="M15" s="30" t="str">
        <f>IF(OR($L15="",$B15=""),"",$B15-$L15)</f>
        <v/>
      </c>
      <c r="N15" s="28"/>
      <c r="O15" s="28"/>
      <c r="P15" s="29" t="str">
        <f>IF($H15="","",ROUND($H15+$O15,2))</f>
        <v/>
      </c>
      <c r="Q15" s="27"/>
      <c r="R15" s="31" t="str">
        <f>IF($B15="","",IF($J15="","Ursache fehlt",IF($K15="","Vermeidbarkeit offen",IF(AND($K15&lt;&gt;"nein",$Q15=""),"Maßnahme fehlt","dokumentiert"))))</f>
        <v/>
      </c>
    </row>
    <row r="16" spans="1:18" x14ac:dyDescent="0.25">
      <c r="A16" s="15"/>
      <c r="B16" s="26"/>
      <c r="C16" s="27"/>
      <c r="D16" s="27"/>
      <c r="E16" s="27"/>
      <c r="F16" s="28"/>
      <c r="G16" s="17"/>
      <c r="H16" s="29" t="str">
        <f>IF(OR($F16="",$G16=""),"",ROUND($F16*$G16,2))</f>
        <v/>
      </c>
      <c r="I16" s="27"/>
      <c r="J16" s="27"/>
      <c r="K16" s="27"/>
      <c r="L16" s="26"/>
      <c r="M16" s="30" t="str">
        <f>IF(OR($L16="",$B16=""),"",$B16-$L16)</f>
        <v/>
      </c>
      <c r="N16" s="28"/>
      <c r="O16" s="28"/>
      <c r="P16" s="29" t="str">
        <f>IF($H16="","",ROUND($H16+$O16,2))</f>
        <v/>
      </c>
      <c r="Q16" s="27"/>
      <c r="R16" s="31" t="str">
        <f>IF($B16="","",IF($J16="","Ursache fehlt",IF($K16="","Vermeidbarkeit offen",IF(AND($K16&lt;&gt;"nein",$Q16=""),"Maßnahme fehlt","dokumentiert"))))</f>
        <v/>
      </c>
    </row>
    <row r="17" spans="1:18" x14ac:dyDescent="0.25">
      <c r="A17" s="15"/>
      <c r="B17" s="26"/>
      <c r="C17" s="27"/>
      <c r="D17" s="27"/>
      <c r="E17" s="27"/>
      <c r="F17" s="28"/>
      <c r="G17" s="17"/>
      <c r="H17" s="29" t="str">
        <f>IF(OR($F17="",$G17=""),"",ROUND($F17*$G17,2))</f>
        <v/>
      </c>
      <c r="I17" s="27"/>
      <c r="J17" s="27"/>
      <c r="K17" s="27"/>
      <c r="L17" s="26"/>
      <c r="M17" s="30" t="str">
        <f>IF(OR($L17="",$B17=""),"",$B17-$L17)</f>
        <v/>
      </c>
      <c r="N17" s="28"/>
      <c r="O17" s="28"/>
      <c r="P17" s="29" t="str">
        <f>IF($H17="","",ROUND($H17+$O17,2))</f>
        <v/>
      </c>
      <c r="Q17" s="27"/>
      <c r="R17" s="31" t="str">
        <f>IF($B17="","",IF($J17="","Ursache fehlt",IF($K17="","Vermeidbarkeit offen",IF(AND($K17&lt;&gt;"nein",$Q17=""),"Maßnahme fehlt","dokumentiert"))))</f>
        <v/>
      </c>
    </row>
    <row r="18" spans="1:18" x14ac:dyDescent="0.25">
      <c r="A18" s="15"/>
      <c r="B18" s="26"/>
      <c r="C18" s="27"/>
      <c r="D18" s="27"/>
      <c r="E18" s="27"/>
      <c r="F18" s="28"/>
      <c r="G18" s="17"/>
      <c r="H18" s="29" t="str">
        <f>IF(OR($F18="",$G18=""),"",ROUND($F18*$G18,2))</f>
        <v/>
      </c>
      <c r="I18" s="27"/>
      <c r="J18" s="27"/>
      <c r="K18" s="27"/>
      <c r="L18" s="26"/>
      <c r="M18" s="30" t="str">
        <f>IF(OR($L18="",$B18=""),"",$B18-$L18)</f>
        <v/>
      </c>
      <c r="N18" s="28"/>
      <c r="O18" s="28"/>
      <c r="P18" s="29" t="str">
        <f>IF($H18="","",ROUND($H18+$O18,2))</f>
        <v/>
      </c>
      <c r="Q18" s="27"/>
      <c r="R18" s="31" t="str">
        <f>IF($B18="","",IF($J18="","Ursache fehlt",IF($K18="","Vermeidbarkeit offen",IF(AND($K18&lt;&gt;"nein",$Q18=""),"Maßnahme fehlt","dokumentiert"))))</f>
        <v/>
      </c>
    </row>
    <row r="19" spans="1:18" x14ac:dyDescent="0.25">
      <c r="A19" s="15"/>
      <c r="B19" s="26"/>
      <c r="C19" s="27"/>
      <c r="D19" s="27"/>
      <c r="E19" s="27"/>
      <c r="F19" s="28"/>
      <c r="G19" s="17"/>
      <c r="H19" s="29" t="str">
        <f>IF(OR($F19="",$G19=""),"",ROUND($F19*$G19,2))</f>
        <v/>
      </c>
      <c r="I19" s="27"/>
      <c r="J19" s="27"/>
      <c r="K19" s="27"/>
      <c r="L19" s="26"/>
      <c r="M19" s="30" t="str">
        <f>IF(OR($L19="",$B19=""),"",$B19-$L19)</f>
        <v/>
      </c>
      <c r="N19" s="28"/>
      <c r="O19" s="28"/>
      <c r="P19" s="29" t="str">
        <f>IF($H19="","",ROUND($H19+$O19,2))</f>
        <v/>
      </c>
      <c r="Q19" s="27"/>
      <c r="R19" s="31" t="str">
        <f>IF($B19="","",IF($J19="","Ursache fehlt",IF($K19="","Vermeidbarkeit offen",IF(AND($K19&lt;&gt;"nein",$Q19=""),"Maßnahme fehlt","dokumentiert"))))</f>
        <v/>
      </c>
    </row>
    <row r="20" spans="1:18" x14ac:dyDescent="0.25">
      <c r="A20" s="15"/>
      <c r="B20" s="26"/>
      <c r="C20" s="27"/>
      <c r="D20" s="27"/>
      <c r="E20" s="27"/>
      <c r="F20" s="28"/>
      <c r="G20" s="17"/>
      <c r="H20" s="29" t="str">
        <f>IF(OR($F20="",$G20=""),"",ROUND($F20*$G20,2))</f>
        <v/>
      </c>
      <c r="I20" s="27"/>
      <c r="J20" s="27"/>
      <c r="K20" s="27"/>
      <c r="L20" s="26"/>
      <c r="M20" s="30" t="str">
        <f>IF(OR($L20="",$B20=""),"",$B20-$L20)</f>
        <v/>
      </c>
      <c r="N20" s="28"/>
      <c r="O20" s="28"/>
      <c r="P20" s="29" t="str">
        <f>IF($H20="","",ROUND($H20+$O20,2))</f>
        <v/>
      </c>
      <c r="Q20" s="27"/>
      <c r="R20" s="31" t="str">
        <f>IF($B20="","",IF($J20="","Ursache fehlt",IF($K20="","Vermeidbarkeit offen",IF(AND($K20&lt;&gt;"nein",$Q20=""),"Maßnahme fehlt","dokumentiert"))))</f>
        <v/>
      </c>
    </row>
    <row r="21" spans="1:18" x14ac:dyDescent="0.25">
      <c r="A21" s="15"/>
      <c r="B21" s="26"/>
      <c r="C21" s="27"/>
      <c r="D21" s="27"/>
      <c r="E21" s="27"/>
      <c r="F21" s="28"/>
      <c r="G21" s="17"/>
      <c r="H21" s="29" t="str">
        <f>IF(OR($F21="",$G21=""),"",ROUND($F21*$G21,2))</f>
        <v/>
      </c>
      <c r="I21" s="27"/>
      <c r="J21" s="27"/>
      <c r="K21" s="27"/>
      <c r="L21" s="26"/>
      <c r="M21" s="30" t="str">
        <f>IF(OR($L21="",$B21=""),"",$B21-$L21)</f>
        <v/>
      </c>
      <c r="N21" s="28"/>
      <c r="O21" s="28"/>
      <c r="P21" s="29" t="str">
        <f>IF($H21="","",ROUND($H21+$O21,2))</f>
        <v/>
      </c>
      <c r="Q21" s="27"/>
      <c r="R21" s="31" t="str">
        <f>IF($B21="","",IF($J21="","Ursache fehlt",IF($K21="","Vermeidbarkeit offen",IF(AND($K21&lt;&gt;"nein",$Q21=""),"Maßnahme fehlt","dokumentiert"))))</f>
        <v/>
      </c>
    </row>
    <row r="22" spans="1:18" x14ac:dyDescent="0.25">
      <c r="A22" s="15"/>
      <c r="B22" s="26"/>
      <c r="C22" s="27"/>
      <c r="D22" s="27"/>
      <c r="E22" s="27"/>
      <c r="F22" s="28"/>
      <c r="G22" s="17"/>
      <c r="H22" s="29" t="str">
        <f>IF(OR($F22="",$G22=""),"",ROUND($F22*$G22,2))</f>
        <v/>
      </c>
      <c r="I22" s="27"/>
      <c r="J22" s="27"/>
      <c r="K22" s="27"/>
      <c r="L22" s="26"/>
      <c r="M22" s="30" t="str">
        <f>IF(OR($L22="",$B22=""),"",$B22-$L22)</f>
        <v/>
      </c>
      <c r="N22" s="28"/>
      <c r="O22" s="28"/>
      <c r="P22" s="29" t="str">
        <f>IF($H22="","",ROUND($H22+$O22,2))</f>
        <v/>
      </c>
      <c r="Q22" s="27"/>
      <c r="R22" s="31" t="str">
        <f>IF($B22="","",IF($J22="","Ursache fehlt",IF($K22="","Vermeidbarkeit offen",IF(AND($K22&lt;&gt;"nein",$Q22=""),"Maßnahme fehlt","dokumentiert"))))</f>
        <v/>
      </c>
    </row>
    <row r="23" spans="1:18" x14ac:dyDescent="0.25">
      <c r="A23" s="15"/>
      <c r="B23" s="26"/>
      <c r="C23" s="27"/>
      <c r="D23" s="27"/>
      <c r="E23" s="27"/>
      <c r="F23" s="28"/>
      <c r="G23" s="17"/>
      <c r="H23" s="29" t="str">
        <f>IF(OR($F23="",$G23=""),"",ROUND($F23*$G23,2))</f>
        <v/>
      </c>
      <c r="I23" s="27"/>
      <c r="J23" s="27"/>
      <c r="K23" s="27"/>
      <c r="L23" s="26"/>
      <c r="M23" s="30" t="str">
        <f>IF(OR($L23="",$B23=""),"",$B23-$L23)</f>
        <v/>
      </c>
      <c r="N23" s="28"/>
      <c r="O23" s="28"/>
      <c r="P23" s="29" t="str">
        <f>IF($H23="","",ROUND($H23+$O23,2))</f>
        <v/>
      </c>
      <c r="Q23" s="27"/>
      <c r="R23" s="31" t="str">
        <f>IF($B23="","",IF($J23="","Ursache fehlt",IF($K23="","Vermeidbarkeit offen",IF(AND($K23&lt;&gt;"nein",$Q23=""),"Maßnahme fehlt","dokumentiert"))))</f>
        <v/>
      </c>
    </row>
    <row r="24" spans="1:18" x14ac:dyDescent="0.25">
      <c r="A24" s="15"/>
      <c r="B24" s="26"/>
      <c r="C24" s="27"/>
      <c r="D24" s="27"/>
      <c r="E24" s="27"/>
      <c r="F24" s="28"/>
      <c r="G24" s="17"/>
      <c r="H24" s="29" t="str">
        <f>IF(OR($F24="",$G24=""),"",ROUND($F24*$G24,2))</f>
        <v/>
      </c>
      <c r="I24" s="27"/>
      <c r="J24" s="27"/>
      <c r="K24" s="27"/>
      <c r="L24" s="26"/>
      <c r="M24" s="30" t="str">
        <f>IF(OR($L24="",$B24=""),"",$B24-$L24)</f>
        <v/>
      </c>
      <c r="N24" s="28"/>
      <c r="O24" s="28"/>
      <c r="P24" s="29" t="str">
        <f>IF($H24="","",ROUND($H24+$O24,2))</f>
        <v/>
      </c>
      <c r="Q24" s="27"/>
      <c r="R24" s="31" t="str">
        <f>IF($B24="","",IF($J24="","Ursache fehlt",IF($K24="","Vermeidbarkeit offen",IF(AND($K24&lt;&gt;"nein",$Q24=""),"Maßnahme fehlt","dokumentiert"))))</f>
        <v/>
      </c>
    </row>
    <row r="25" spans="1:18" x14ac:dyDescent="0.25">
      <c r="A25" s="15"/>
      <c r="B25" s="26"/>
      <c r="C25" s="27"/>
      <c r="D25" s="27"/>
      <c r="E25" s="27"/>
      <c r="F25" s="28"/>
      <c r="G25" s="17"/>
      <c r="H25" s="29" t="str">
        <f>IF(OR($F25="",$G25=""),"",ROUND($F25*$G25,2))</f>
        <v/>
      </c>
      <c r="I25" s="27"/>
      <c r="J25" s="27"/>
      <c r="K25" s="27"/>
      <c r="L25" s="26"/>
      <c r="M25" s="30" t="str">
        <f>IF(OR($L25="",$B25=""),"",$B25-$L25)</f>
        <v/>
      </c>
      <c r="N25" s="28"/>
      <c r="O25" s="28"/>
      <c r="P25" s="29" t="str">
        <f>IF($H25="","",ROUND($H25+$O25,2))</f>
        <v/>
      </c>
      <c r="Q25" s="27"/>
      <c r="R25" s="31" t="str">
        <f>IF($B25="","",IF($J25="","Ursache fehlt",IF($K25="","Vermeidbarkeit offen",IF(AND($K25&lt;&gt;"nein",$Q25=""),"Maßnahme fehlt","dokumentiert"))))</f>
        <v/>
      </c>
    </row>
    <row r="26" spans="1:18" x14ac:dyDescent="0.25">
      <c r="A26" s="15"/>
      <c r="B26" s="26"/>
      <c r="C26" s="27"/>
      <c r="D26" s="27"/>
      <c r="E26" s="27"/>
      <c r="F26" s="28"/>
      <c r="G26" s="17"/>
      <c r="H26" s="29" t="str">
        <f>IF(OR($F26="",$G26=""),"",ROUND($F26*$G26,2))</f>
        <v/>
      </c>
      <c r="I26" s="27"/>
      <c r="J26" s="27"/>
      <c r="K26" s="27"/>
      <c r="L26" s="26"/>
      <c r="M26" s="30" t="str">
        <f>IF(OR($L26="",$B26=""),"",$B26-$L26)</f>
        <v/>
      </c>
      <c r="N26" s="28"/>
      <c r="O26" s="28"/>
      <c r="P26" s="29" t="str">
        <f>IF($H26="","",ROUND($H26+$O26,2))</f>
        <v/>
      </c>
      <c r="Q26" s="27"/>
      <c r="R26" s="31" t="str">
        <f>IF($B26="","",IF($J26="","Ursache fehlt",IF($K26="","Vermeidbarkeit offen",IF(AND($K26&lt;&gt;"nein",$Q26=""),"Maßnahme fehlt","dokumentiert"))))</f>
        <v/>
      </c>
    </row>
    <row r="27" spans="1:18" x14ac:dyDescent="0.25">
      <c r="A27" s="15"/>
      <c r="B27" s="26"/>
      <c r="C27" s="27"/>
      <c r="D27" s="27"/>
      <c r="E27" s="27"/>
      <c r="F27" s="28"/>
      <c r="G27" s="17"/>
      <c r="H27" s="29" t="str">
        <f>IF(OR($F27="",$G27=""),"",ROUND($F27*$G27,2))</f>
        <v/>
      </c>
      <c r="I27" s="27"/>
      <c r="J27" s="27"/>
      <c r="K27" s="27"/>
      <c r="L27" s="26"/>
      <c r="M27" s="30" t="str">
        <f>IF(OR($L27="",$B27=""),"",$B27-$L27)</f>
        <v/>
      </c>
      <c r="N27" s="28"/>
      <c r="O27" s="28"/>
      <c r="P27" s="29" t="str">
        <f>IF($H27="","",ROUND($H27+$O27,2))</f>
        <v/>
      </c>
      <c r="Q27" s="27"/>
      <c r="R27" s="31" t="str">
        <f>IF($B27="","",IF($J27="","Ursache fehlt",IF($K27="","Vermeidbarkeit offen",IF(AND($K27&lt;&gt;"nein",$Q27=""),"Maßnahme fehlt","dokumentiert"))))</f>
        <v/>
      </c>
    </row>
    <row r="29" spans="1:16" x14ac:dyDescent="0.25">
      <c r="A29" s="32" t="s">
        <v>92</v>
      </c>
      <c r="H29" s="33">
        <f>SUM(H$2:H$27)</f>
        <v>109650</v>
      </c>
      <c r="N29" s="33">
        <f>SUM(N$2:N$27)</f>
        <v>3200</v>
      </c>
      <c r="O29" s="33">
        <f>SUM(O$2:O$27)</f>
        <v>11700</v>
      </c>
      <c r="P29" s="33">
        <f>SUM(P$2:P$27)</f>
        <v>121350</v>
      </c>
    </row>
    <row r="31" ht="34" customHeight="1" spans="1:11" x14ac:dyDescent="0.25">
      <c r="A31" s="34"/>
      <c r="B31" s="35"/>
      <c r="C31" s="7"/>
      <c r="D31" s="7"/>
      <c r="E31" s="13" t="s">
        <v>93</v>
      </c>
      <c r="F31" s="13"/>
      <c r="G31" s="13"/>
      <c r="H31" s="13"/>
      <c r="I31" s="13"/>
      <c r="J31" s="13"/>
      <c r="K31" s="13"/>
    </row>
  </sheetData>
  <sheetProtection sheet="1" insertRows="0" deleteRows="0" sort="0" autoFilter="0"/>
  <autoFilter ref="A1:R1"/>
  <mergeCells count="1">
    <mergeCell ref="E31:K31"/>
  </mergeCells>
  <dataValidations count="12">
    <dataValidation type="decimal" allowBlank="1" showErrorMessage="1" errorTitle="Wert außerhalb des Bereichs" error="Zulässig sind Werte zwischen 0 und 100000000." sqref="F10:F27">
      <formula1>0</formula1>
      <formula2>100000000</formula2>
    </dataValidation>
    <dataValidation type="decimal" allowBlank="1" showErrorMessage="1" errorTitle="Wert außerhalb des Bereichs" error="Zulässig sind Werte zwischen 0 und 100000000." sqref="F2:F27">
      <formula1>0</formula1>
      <formula2>100000000</formula2>
    </dataValidation>
    <dataValidation type="decimal" allowBlank="1" showErrorMessage="1" errorTitle="Wert außerhalb des Bereichs" error="Zulässig sind Werte zwischen 0 und 0.15." sqref="G10:G27">
      <formula1>0</formula1>
      <formula2>0.15</formula2>
    </dataValidation>
    <dataValidation type="decimal" allowBlank="1" showErrorMessage="1" errorTitle="Wert außerhalb des Bereichs" error="Zulässig sind Werte zwischen 0 und 0.15." sqref="G2:G27">
      <formula1>0</formula1>
      <formula2>0.15</formula2>
    </dataValidation>
    <dataValidation type="list" showErrorMessage="1" errorTitle="Nicht in der Liste" error="Zulässig sind: Reservierung, vor Beurkundung, nach Beurkundung, nach Widerrufsfrist" sqref="I10:I27">
      <formula1>"Reservierung,vor Beurkundung,nach Beurkundung,nach Widerrufsfrist"</formula1>
    </dataValidation>
    <dataValidation type="list" showErrorMessage="1" errorTitle="Nicht in der Liste" error="Zulässig sind: Reservierung, vor Beurkundung, nach Beurkundung, nach Widerrufsfrist" sqref="I2:I27">
      <formula1>"Reservierung,vor Beurkundung,nach Beurkundung,nach Widerrufsfrist"</formula1>
    </dataValidation>
    <dataValidation type="list" showErrorMessage="1" errorTitle="Nicht in der Liste" error="Zulässig sind: Finanzierung geplatzt, Eigenkapital fehlt, Kaufpreis nachverhandelt, Bauzeit zu lang, Bemusterung eskaliert, Objektmangel, Persönliche Gründe, Widerruf Fernabsatz, Wettbewerbsangebot, Unterlagen unklar, Vertrauensverlust" sqref="J10:J27">
      <formula1>"Finanzierung geplatzt,Eigenkapital fehlt,Kaufpreis nachverhandelt,Bauzeit zu lang,Bemusterung eskaliert,Objektmangel,Persönliche Gründe,Widerruf Fernabsatz,Wettbewerbsangebot,Unterlagen unklar,Vertrauensverlust"</formula1>
    </dataValidation>
    <dataValidation type="list" showErrorMessage="1" errorTitle="Nicht in der Liste" error="Zulässig sind: Finanzierung geplatzt, Eigenkapital fehlt, Kaufpreis nachverhandelt, Bauzeit zu lang, Bemusterung eskaliert, Objektmangel, Persönliche Gründe, Widerruf Fernabsatz, Wettbewerbsangebot, Unterlagen unklar, Vertrauensverlust" sqref="J2:J27">
      <formula1>"Finanzierung geplatzt,Eigenkapital fehlt,Kaufpreis nachverhandelt,Bauzeit zu lang,Bemusterung eskaliert,Objektmangel,Persönliche Gründe,Widerruf Fernabsatz,Wettbewerbsangebot,Unterlagen unklar,Vertrauensverlust"</formula1>
    </dataValidation>
    <dataValidation type="list" showErrorMessage="1" errorTitle="Nicht in der Liste" error="Zulässig sind: ja, teilweise, nein" sqref="K10:K27">
      <formula1>"ja,teilweise,nein"</formula1>
    </dataValidation>
    <dataValidation type="list" showErrorMessage="1" errorTitle="Nicht in der Liste" error="Zulässig sind: ja, teilweise, nein" sqref="K2:K27">
      <formula1>"ja,teilweise,nein"</formula1>
    </dataValidation>
    <dataValidation type="decimal" allowBlank="1" showErrorMessage="1" errorTitle="Wert außerhalb des Bereichs" error="Zulässig sind Werte zwischen 0 und 1000000." sqref="N10:O27">
      <formula1>0</formula1>
      <formula2>1000000</formula2>
    </dataValidation>
    <dataValidation type="decimal" allowBlank="1" showErrorMessage="1" errorTitle="Wert außerhalb des Bereichs" error="Zulässig sind Werte zwischen 0 und 1000000." sqref="N2:O27">
      <formula1>0</formula1>
      <formula2>1000000</formula2>
    </dataValidation>
  </dataValidations>
  <pageMargins left="0.6" right="0.4" top="0.6" bottom="0.6" header="0.3" footer="0.3"/>
  <pageSetup paperSize="9" orientation="landscape" horizontalDpi="4294967295" verticalDpi="4294967295" scale="60" fitToWidth="1"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pane ySplit="1" topLeftCell="A2" activePane="bottomLeft" state="frozen"/>
      <selection pane="bottomLeft"/>
    </sheetView>
  </sheetViews>
  <sheetFormatPr defaultRowHeight="15" outlineLevelRow="0" outlineLevelCol="0" x14ac:dyDescent="55"/>
  <cols>
    <col min="1" max="1" width="26" style="1" customWidth="1"/>
    <col min="2" max="2" width="9" style="18" customWidth="1"/>
    <col min="3" max="3" width="12" style="21" customWidth="1"/>
    <col min="4" max="4" width="15" style="20" customWidth="1"/>
    <col min="5" max="5" width="15" style="21" customWidth="1"/>
    <col min="6" max="6" width="9" style="18" customWidth="1"/>
    <col min="7" max="7" width="15" style="21" customWidth="1"/>
    <col min="8" max="8" width="14" style="1" customWidth="1"/>
    <col min="9" max="9" width="60" style="1" customWidth="1"/>
    <col min="10" max="10" width="52" style="1" customWidth="1"/>
  </cols>
  <sheetData>
    <row r="1" ht="33" customHeight="1" spans="1:10" x14ac:dyDescent="0.25">
      <c r="A1" s="9" t="s">
        <v>45</v>
      </c>
      <c r="B1" s="22" t="s">
        <v>94</v>
      </c>
      <c r="C1" s="25" t="s">
        <v>95</v>
      </c>
      <c r="D1" s="24" t="s">
        <v>96</v>
      </c>
      <c r="E1" s="25" t="s">
        <v>97</v>
      </c>
      <c r="F1" s="22" t="s">
        <v>98</v>
      </c>
      <c r="G1" s="25" t="s">
        <v>99</v>
      </c>
      <c r="H1" s="9" t="s">
        <v>100</v>
      </c>
      <c r="I1" s="9" t="s">
        <v>101</v>
      </c>
      <c r="J1" s="9" t="s">
        <v>102</v>
      </c>
    </row>
    <row r="2" ht="34" customHeight="1" spans="1:10" x14ac:dyDescent="0.25">
      <c r="A2" s="36" t="s">
        <v>58</v>
      </c>
      <c r="B2" s="30">
        <f>IF($A2="","",COUNTIF(Stornofälle!$J$2:$J$27,$A2))</f>
        <v>3</v>
      </c>
      <c r="C2" s="37">
        <f>IF(OR($A2="",COUNT(Stornofälle!$H$2:$H$27)=0),"",ROUND($B2/COUNT(Stornofälle!$H$2:$H$27),4))</f>
        <v>0.3333</v>
      </c>
      <c r="D2" s="29">
        <f>IF($A2="","",ROUND(SUMIF(Stornofälle!$J$2:$J$27,$A2,Stornofälle!$P$2:$P$27),2))</f>
        <v>41560</v>
      </c>
      <c r="E2" s="37">
        <f>IF(OR($A2="",SUM($D$2:$D$12)=0),"",ROUND($D2/SUM($D$2:$D$12),4))</f>
        <v>0.3425</v>
      </c>
      <c r="F2" s="30">
        <f>IF($A2="","",COUNTIF($D$2:$D$12,"&gt;"&amp;$D2)+COUNTIF($D$2:$D2,$D2))</f>
        <v>1</v>
      </c>
      <c r="G2" s="37">
        <f>IF($F2="","",ROUND(SUMIF($F$2:$F$12,"&lt;="&amp;$F2,$E$2:$E$12),4))</f>
        <v>0.3425</v>
      </c>
      <c r="H2" s="38" t="str">
        <f>IF($G2="","",IF(ROUND($G2-$E2,4)&lt;0.8,"ja","nein"))</f>
        <v>ja</v>
      </c>
      <c r="I2" s="39" t="s">
        <v>103</v>
      </c>
      <c r="J2" s="39" t="s">
        <v>104</v>
      </c>
    </row>
    <row r="3" ht="23.5" customHeight="1" spans="1:10" x14ac:dyDescent="0.25">
      <c r="A3" s="36" t="s">
        <v>64</v>
      </c>
      <c r="B3" s="30">
        <f>IF($A3="","",COUNTIF(Stornofälle!$J$2:$J$27,$A3))</f>
        <v>1</v>
      </c>
      <c r="C3" s="37">
        <f>IF(OR($A3="",COUNT(Stornofälle!$H$2:$H$27)=0),"",ROUND($B3/COUNT(Stornofälle!$H$2:$H$27),4))</f>
        <v>0.1111</v>
      </c>
      <c r="D3" s="29">
        <f>IF($A3="","",ROUND(SUMIF(Stornofälle!$J$2:$J$27,$A3,Stornofälle!$P$2:$P$27),2))</f>
        <v>14240</v>
      </c>
      <c r="E3" s="37">
        <f>IF(OR($A3="",SUM($D$2:$D$12)=0),"",ROUND($D3/SUM($D$2:$D$12),4))</f>
        <v>0.1173</v>
      </c>
      <c r="F3" s="30">
        <f>IF($A3="","",COUNTIF($D$2:$D$12,"&gt;"&amp;$D3)+COUNTIF($D$2:$D3,$D3))</f>
        <v>4</v>
      </c>
      <c r="G3" s="37">
        <f>IF($F3="","",ROUND(SUMIF($F$2:$F$12,"&lt;="&amp;$F3,$E$2:$E$12),4))</f>
        <v>0.7226</v>
      </c>
      <c r="H3" s="38" t="str">
        <f>IF($G3="","",IF(ROUND($G3-$E3,4)&lt;0.8,"ja","nein"))</f>
        <v>ja</v>
      </c>
      <c r="I3" s="39" t="s">
        <v>105</v>
      </c>
      <c r="J3" s="39" t="s">
        <v>106</v>
      </c>
    </row>
    <row r="4" ht="23.5" customHeight="1" spans="1:10" x14ac:dyDescent="0.25">
      <c r="A4" s="36" t="s">
        <v>74</v>
      </c>
      <c r="B4" s="30">
        <f>IF($A4="","",COUNTIF(Stornofälle!$J$2:$J$27,$A4))</f>
        <v>1</v>
      </c>
      <c r="C4" s="37">
        <f>IF(OR($A4="",COUNT(Stornofälle!$H$2:$H$27)=0),"",ROUND($B4/COUNT(Stornofälle!$H$2:$H$27),4))</f>
        <v>0.1111</v>
      </c>
      <c r="D4" s="29">
        <f>IF($A4="","",ROUND(SUMIF(Stornofälle!$J$2:$J$27,$A4,Stornofälle!$P$2:$P$27),2))</f>
        <v>16740</v>
      </c>
      <c r="E4" s="37">
        <f>IF(OR($A4="",SUM($D$2:$D$12)=0),"",ROUND($D4/SUM($D$2:$D$12),4))</f>
        <v>0.1379</v>
      </c>
      <c r="F4" s="30">
        <f>IF($A4="","",COUNTIF($D$2:$D$12,"&gt;"&amp;$D4)+COUNTIF($D$2:$D4,$D4))</f>
        <v>2</v>
      </c>
      <c r="G4" s="37">
        <f>IF($F4="","",ROUND(SUMIF($F$2:$F$12,"&lt;="&amp;$F4,$E$2:$E$12),4))</f>
        <v>0.4804</v>
      </c>
      <c r="H4" s="38" t="str">
        <f>IF($G4="","",IF(ROUND($G4-$E4,4)&lt;0.8,"ja","nein"))</f>
        <v>ja</v>
      </c>
      <c r="I4" s="39" t="s">
        <v>107</v>
      </c>
      <c r="J4" s="39" t="s">
        <v>108</v>
      </c>
    </row>
    <row r="5" ht="23.5" customHeight="1" spans="1:10" x14ac:dyDescent="0.25">
      <c r="A5" s="36" t="s">
        <v>80</v>
      </c>
      <c r="B5" s="30">
        <f>IF($A5="","",COUNTIF(Stornofälle!$J$2:$J$27,$A5))</f>
        <v>1</v>
      </c>
      <c r="C5" s="37">
        <f>IF(OR($A5="",COUNT(Stornofälle!$H$2:$H$27)=0),"",ROUND($B5/COUNT(Stornofälle!$H$2:$H$27),4))</f>
        <v>0.1111</v>
      </c>
      <c r="D5" s="29">
        <f>IF($A5="","",ROUND(SUMIF(Stornofälle!$J$2:$J$27,$A5,Stornofälle!$P$2:$P$27),2))</f>
        <v>15160</v>
      </c>
      <c r="E5" s="37">
        <f>IF(OR($A5="",SUM($D$2:$D$12)=0),"",ROUND($D5/SUM($D$2:$D$12),4))</f>
        <v>0.1249</v>
      </c>
      <c r="F5" s="30">
        <f>IF($A5="","",COUNTIF($D$2:$D$12,"&gt;"&amp;$D5)+COUNTIF($D$2:$D5,$D5))</f>
        <v>3</v>
      </c>
      <c r="G5" s="37">
        <f>IF($F5="","",ROUND(SUMIF($F$2:$F$12,"&lt;="&amp;$F5,$E$2:$E$12),4))</f>
        <v>0.6053</v>
      </c>
      <c r="H5" s="38" t="str">
        <f>IF($G5="","",IF(ROUND($G5-$E5,4)&lt;0.8,"ja","nein"))</f>
        <v>ja</v>
      </c>
      <c r="I5" s="39" t="s">
        <v>109</v>
      </c>
      <c r="J5" s="39" t="s">
        <v>110</v>
      </c>
    </row>
    <row r="6" ht="23.5" customHeight="1" spans="1:10" x14ac:dyDescent="0.25">
      <c r="A6" s="36" t="s">
        <v>111</v>
      </c>
      <c r="B6" s="30">
        <f>IF($A6="","",COUNTIF(Stornofälle!$J$2:$J$27,$A6))</f>
        <v>0</v>
      </c>
      <c r="C6" s="37">
        <f>IF(OR($A6="",COUNT(Stornofälle!$H$2:$H$27)=0),"",ROUND($B6/COUNT(Stornofälle!$H$2:$H$27),4))</f>
        <v>0</v>
      </c>
      <c r="D6" s="29">
        <f>IF($A6="","",ROUND(SUMIF(Stornofälle!$J$2:$J$27,$A6,Stornofälle!$P$2:$P$27),2))</f>
        <v>0</v>
      </c>
      <c r="E6" s="37">
        <f>IF(OR($A6="",SUM($D$2:$D$12)=0),"",ROUND($D6/SUM($D$2:$D$12),4))</f>
        <v>0</v>
      </c>
      <c r="F6" s="30">
        <f>IF($A6="","",COUNTIF($D$2:$D$12,"&gt;"&amp;$D6)+COUNTIF($D$2:$D6,$D6))</f>
        <v>8</v>
      </c>
      <c r="G6" s="37">
        <f>IF($F6="","",ROUND(SUMIF($F$2:$F$12,"&lt;="&amp;$F6,$E$2:$E$12),4))</f>
        <v>1</v>
      </c>
      <c r="H6" s="38" t="str">
        <f>IF($G6="","",IF(ROUND($G6-$E6,4)&lt;0.8,"ja","nein"))</f>
        <v>nein</v>
      </c>
      <c r="I6" s="39" t="s">
        <v>112</v>
      </c>
      <c r="J6" s="39" t="s">
        <v>113</v>
      </c>
    </row>
    <row r="7" ht="23.5" customHeight="1" spans="1:10" x14ac:dyDescent="0.25">
      <c r="A7" s="36" t="s">
        <v>114</v>
      </c>
      <c r="B7" s="30">
        <f>IF($A7="","",COUNTIF(Stornofälle!$J$2:$J$27,$A7))</f>
        <v>0</v>
      </c>
      <c r="C7" s="37">
        <f>IF(OR($A7="",COUNT(Stornofälle!$H$2:$H$27)=0),"",ROUND($B7/COUNT(Stornofälle!$H$2:$H$27),4))</f>
        <v>0</v>
      </c>
      <c r="D7" s="29">
        <f>IF($A7="","",ROUND(SUMIF(Stornofälle!$J$2:$J$27,$A7,Stornofälle!$P$2:$P$27),2))</f>
        <v>0</v>
      </c>
      <c r="E7" s="37">
        <f>IF(OR($A7="",SUM($D$2:$D$12)=0),"",ROUND($D7/SUM($D$2:$D$12),4))</f>
        <v>0</v>
      </c>
      <c r="F7" s="30">
        <f>IF($A7="","",COUNTIF($D$2:$D$12,"&gt;"&amp;$D7)+COUNTIF($D$2:$D7,$D7))</f>
        <v>9</v>
      </c>
      <c r="G7" s="37">
        <f>IF($F7="","",ROUND(SUMIF($F$2:$F$12,"&lt;="&amp;$F7,$E$2:$E$12),4))</f>
        <v>1</v>
      </c>
      <c r="H7" s="38" t="str">
        <f>IF($G7="","",IF(ROUND($G7-$E7,4)&lt;0.8,"ja","nein"))</f>
        <v>nein</v>
      </c>
      <c r="I7" s="39" t="s">
        <v>115</v>
      </c>
      <c r="J7" s="39" t="s">
        <v>116</v>
      </c>
    </row>
    <row r="8" ht="34" customHeight="1" spans="1:10" x14ac:dyDescent="0.25">
      <c r="A8" s="36" t="s">
        <v>89</v>
      </c>
      <c r="B8" s="30">
        <f>IF($A8="","",COUNTIF(Stornofälle!$J$2:$J$27,$A8))</f>
        <v>1</v>
      </c>
      <c r="C8" s="37">
        <f>IF(OR($A8="",COUNT(Stornofälle!$H$2:$H$27)=0),"",ROUND($B8/COUNT(Stornofälle!$H$2:$H$27),4))</f>
        <v>0.1111</v>
      </c>
      <c r="D8" s="29">
        <f>IF($A8="","",ROUND(SUMIF(Stornofälle!$J$2:$J$27,$A8,Stornofälle!$P$2:$P$27),2))</f>
        <v>10520</v>
      </c>
      <c r="E8" s="37">
        <f>IF(OR($A8="",SUM($D$2:$D$12)=0),"",ROUND($D8/SUM($D$2:$D$12),4))</f>
        <v>0.0867</v>
      </c>
      <c r="F8" s="30">
        <f>IF($A8="","",COUNTIF($D$2:$D$12,"&gt;"&amp;$D8)+COUNTIF($D$2:$D8,$D8))</f>
        <v>7</v>
      </c>
      <c r="G8" s="37">
        <f>IF($F8="","",ROUND(SUMIF($F$2:$F$12,"&lt;="&amp;$F8,$E$2:$E$12),4))</f>
        <v>1</v>
      </c>
      <c r="H8" s="38" t="str">
        <f>IF($G8="","",IF(ROUND($G8-$E8,4)&lt;0.8,"ja","nein"))</f>
        <v>nein</v>
      </c>
      <c r="I8" s="39" t="s">
        <v>117</v>
      </c>
      <c r="J8" s="39" t="s">
        <v>118</v>
      </c>
    </row>
    <row r="9" ht="23.5" customHeight="1" spans="1:10" x14ac:dyDescent="0.25">
      <c r="A9" s="36" t="s">
        <v>69</v>
      </c>
      <c r="B9" s="30">
        <f>IF($A9="","",COUNTIF(Stornofälle!$J$2:$J$27,$A9))</f>
        <v>1</v>
      </c>
      <c r="C9" s="37">
        <f>IF(OR($A9="",COUNT(Stornofälle!$H$2:$H$27)=0),"",ROUND($B9/COUNT(Stornofälle!$H$2:$H$27),4))</f>
        <v>0.1111</v>
      </c>
      <c r="D9" s="29">
        <f>IF($A9="","",ROUND(SUMIF(Stornofälle!$J$2:$J$27,$A9,Stornofälle!$P$2:$P$27),2))</f>
        <v>11850</v>
      </c>
      <c r="E9" s="37">
        <f>IF(OR($A9="",SUM($D$2:$D$12)=0),"",ROUND($D9/SUM($D$2:$D$12),4))</f>
        <v>0.0977</v>
      </c>
      <c r="F9" s="30">
        <f>IF($A9="","",COUNTIF($D$2:$D$12,"&gt;"&amp;$D9)+COUNTIF($D$2:$D9,$D9))</f>
        <v>5</v>
      </c>
      <c r="G9" s="37">
        <f>IF($F9="","",ROUND(SUMIF($F$2:$F$12,"&lt;="&amp;$F9,$E$2:$E$12),4))</f>
        <v>0.8203</v>
      </c>
      <c r="H9" s="38" t="str">
        <f>IF($G9="","",IF(ROUND($G9-$E9,4)&lt;0.8,"ja","nein"))</f>
        <v>ja</v>
      </c>
      <c r="I9" s="39" t="s">
        <v>119</v>
      </c>
      <c r="J9" s="39" t="s">
        <v>120</v>
      </c>
    </row>
    <row r="10" ht="23.5" customHeight="1" spans="1:10" x14ac:dyDescent="0.25">
      <c r="A10" s="36" t="s">
        <v>84</v>
      </c>
      <c r="B10" s="30">
        <f>IF($A10="","",COUNTIF(Stornofälle!$J$2:$J$27,$A10))</f>
        <v>1</v>
      </c>
      <c r="C10" s="37">
        <f>IF(OR($A10="",COUNT(Stornofälle!$H$2:$H$27)=0),"",ROUND($B10/COUNT(Stornofälle!$H$2:$H$27),4))</f>
        <v>0.1111</v>
      </c>
      <c r="D10" s="29">
        <f>IF($A10="","",ROUND(SUMIF(Stornofälle!$J$2:$J$27,$A10,Stornofälle!$P$2:$P$27),2))</f>
        <v>11280</v>
      </c>
      <c r="E10" s="37">
        <f>IF(OR($A10="",SUM($D$2:$D$12)=0),"",ROUND($D10/SUM($D$2:$D$12),4))</f>
        <v>0.093</v>
      </c>
      <c r="F10" s="30">
        <f>IF($A10="","",COUNTIF($D$2:$D$12,"&gt;"&amp;$D10)+COUNTIF($D$2:$D10,$D10))</f>
        <v>6</v>
      </c>
      <c r="G10" s="37">
        <f>IF($F10="","",ROUND(SUMIF($F$2:$F$12,"&lt;="&amp;$F10,$E$2:$E$12),4))</f>
        <v>0.9133</v>
      </c>
      <c r="H10" s="38" t="str">
        <f>IF($G10="","",IF(ROUND($G10-$E10,4)&lt;0.8,"ja","nein"))</f>
        <v>nein</v>
      </c>
      <c r="I10" s="39" t="s">
        <v>121</v>
      </c>
      <c r="J10" s="39" t="s">
        <v>122</v>
      </c>
    </row>
    <row r="11" ht="23.5" customHeight="1" spans="1:10" x14ac:dyDescent="0.25">
      <c r="A11" s="36" t="s">
        <v>123</v>
      </c>
      <c r="B11" s="30">
        <f>IF($A11="","",COUNTIF(Stornofälle!$J$2:$J$27,$A11))</f>
        <v>0</v>
      </c>
      <c r="C11" s="37">
        <f>IF(OR($A11="",COUNT(Stornofälle!$H$2:$H$27)=0),"",ROUND($B11/COUNT(Stornofälle!$H$2:$H$27),4))</f>
        <v>0</v>
      </c>
      <c r="D11" s="29">
        <f>IF($A11="","",ROUND(SUMIF(Stornofälle!$J$2:$J$27,$A11,Stornofälle!$P$2:$P$27),2))</f>
        <v>0</v>
      </c>
      <c r="E11" s="37">
        <f>IF(OR($A11="",SUM($D$2:$D$12)=0),"",ROUND($D11/SUM($D$2:$D$12),4))</f>
        <v>0</v>
      </c>
      <c r="F11" s="30">
        <f>IF($A11="","",COUNTIF($D$2:$D$12,"&gt;"&amp;$D11)+COUNTIF($D$2:$D11,$D11))</f>
        <v>10</v>
      </c>
      <c r="G11" s="37">
        <f>IF($F11="","",ROUND(SUMIF($F$2:$F$12,"&lt;="&amp;$F11,$E$2:$E$12),4))</f>
        <v>1</v>
      </c>
      <c r="H11" s="38" t="str">
        <f>IF($G11="","",IF(ROUND($G11-$E11,4)&lt;0.8,"ja","nein"))</f>
        <v>nein</v>
      </c>
      <c r="I11" s="39" t="s">
        <v>124</v>
      </c>
      <c r="J11" s="39" t="s">
        <v>125</v>
      </c>
    </row>
    <row r="12" ht="23.5" customHeight="1" spans="1:10" x14ac:dyDescent="0.25">
      <c r="A12" s="36" t="s">
        <v>126</v>
      </c>
      <c r="B12" s="30">
        <f>IF($A12="","",COUNTIF(Stornofälle!$J$2:$J$27,$A12))</f>
        <v>0</v>
      </c>
      <c r="C12" s="37">
        <f>IF(OR($A12="",COUNT(Stornofälle!$H$2:$H$27)=0),"",ROUND($B12/COUNT(Stornofälle!$H$2:$H$27),4))</f>
        <v>0</v>
      </c>
      <c r="D12" s="29">
        <f>IF($A12="","",ROUND(SUMIF(Stornofälle!$J$2:$J$27,$A12,Stornofälle!$P$2:$P$27),2))</f>
        <v>0</v>
      </c>
      <c r="E12" s="37">
        <f>IF(OR($A12="",SUM($D$2:$D$12)=0),"",ROUND($D12/SUM($D$2:$D$12),4))</f>
        <v>0</v>
      </c>
      <c r="F12" s="30">
        <f>IF($A12="","",COUNTIF($D$2:$D$12,"&gt;"&amp;$D12)+COUNTIF($D$2:$D12,$D12))</f>
        <v>11</v>
      </c>
      <c r="G12" s="37">
        <f>IF($F12="","",ROUND(SUMIF($F$2:$F$12,"&lt;="&amp;$F12,$E$2:$E$12),4))</f>
        <v>1</v>
      </c>
      <c r="H12" s="38" t="str">
        <f>IF($G12="","",IF(ROUND($G12-$E12,4)&lt;0.8,"ja","nein"))</f>
        <v>nein</v>
      </c>
      <c r="I12" s="39" t="s">
        <v>127</v>
      </c>
      <c r="J12" s="39" t="s">
        <v>128</v>
      </c>
    </row>
    <row r="14" spans="1:4" x14ac:dyDescent="0.25">
      <c r="A14" s="6" t="s">
        <v>129</v>
      </c>
      <c r="B14" s="6"/>
      <c r="C14" s="6"/>
      <c r="D14" s="40">
        <f>COUNT(Stornofälle!$H$2:$H$27)</f>
        <v>9</v>
      </c>
    </row>
    <row r="15" spans="1:4" x14ac:dyDescent="0.25">
      <c r="A15" s="6" t="s">
        <v>29</v>
      </c>
      <c r="B15" s="6"/>
      <c r="C15" s="6"/>
      <c r="D15" s="40">
        <f>Parameter!$B$8</f>
        <v>62</v>
      </c>
    </row>
    <row r="16" spans="1:4" x14ac:dyDescent="0.25">
      <c r="A16" s="6" t="s">
        <v>130</v>
      </c>
      <c r="B16" s="6"/>
      <c r="C16" s="6"/>
      <c r="D16" s="41">
        <f>IF(Parameter!$B$8&gt;0,ROUND(COUNT(Stornofälle!$H$2:$H$27)/Parameter!$B$8,4),"")</f>
        <v>0.1452</v>
      </c>
    </row>
    <row r="17" spans="1:4" x14ac:dyDescent="0.25">
      <c r="A17" s="6" t="s">
        <v>131</v>
      </c>
      <c r="B17" s="6"/>
      <c r="C17" s="6"/>
      <c r="D17" s="41">
        <f>IF(Parameter!$B$8&gt;0,ROUND(COUNT(Stornofälle!$H$2:$H$27)/Parameter!$B$8-Parameter!$B$10,4),"")</f>
        <v>0.0652</v>
      </c>
    </row>
    <row r="18" spans="1:4" x14ac:dyDescent="0.25">
      <c r="A18" s="6" t="s">
        <v>51</v>
      </c>
      <c r="B18" s="6"/>
      <c r="C18" s="6"/>
      <c r="D18" s="33">
        <f>ROUND(SUM(Stornofälle!$P$2:$P$27),2)</f>
        <v>121350</v>
      </c>
    </row>
    <row r="19" spans="1:4" x14ac:dyDescent="0.25">
      <c r="A19" s="6" t="s">
        <v>132</v>
      </c>
      <c r="B19" s="6"/>
      <c r="C19" s="6"/>
      <c r="D19" s="33">
        <f>IF(COUNT(Stornofälle!$H$2:$H$27)&gt;0,ROUND(SUM(Stornofälle!$P$2:$P$27)/COUNT(Stornofälle!$H$2:$H$27),2),"")</f>
        <v>13483.33</v>
      </c>
    </row>
    <row r="20" spans="1:4" x14ac:dyDescent="0.25">
      <c r="A20" s="6" t="s">
        <v>133</v>
      </c>
      <c r="B20" s="6"/>
      <c r="C20" s="6"/>
      <c r="D20" s="33">
        <f>ROUND(Parameter!$B$8*0.01*Parameter!$B$9,2)</f>
        <v>7440</v>
      </c>
    </row>
    <row r="21" spans="1:4" x14ac:dyDescent="0.25">
      <c r="A21" s="6" t="s">
        <v>134</v>
      </c>
      <c r="B21" s="6"/>
      <c r="C21" s="6"/>
      <c r="D21" s="33">
        <f>ROUND(MAX(0,COUNT(Stornofälle!$H$2:$H$27)/Parameter!$B$8-Parameter!$B$10)*Parameter!$B$8*Parameter!$B$9,2)</f>
        <v>48480</v>
      </c>
    </row>
    <row r="23" ht="34" customHeight="1" spans="1:8" x14ac:dyDescent="0.25">
      <c r="A23" s="13" t="s">
        <v>135</v>
      </c>
      <c r="B23" s="13"/>
      <c r="C23" s="13"/>
      <c r="D23" s="13"/>
      <c r="E23" s="13"/>
      <c r="F23" s="13"/>
      <c r="G23" s="13"/>
      <c r="H23" s="13"/>
    </row>
  </sheetData>
  <sheetProtection sheet="1" insertRows="0" deleteRows="0" sort="0" autoFilter="0"/>
  <autoFilter ref="A1:J1"/>
  <mergeCells count="9">
    <mergeCell ref="A14:C14"/>
    <mergeCell ref="A15:C15"/>
    <mergeCell ref="A16:C16"/>
    <mergeCell ref="A17:C17"/>
    <mergeCell ref="A18:C18"/>
    <mergeCell ref="A19:C19"/>
    <mergeCell ref="A20:C20"/>
    <mergeCell ref="A21:C21"/>
    <mergeCell ref="A23:H23"/>
  </mergeCells>
  <pageMargins left="0.6" right="0.4" top="0.6" bottom="0.6" header="0.3" footer="0.3"/>
  <pageSetup paperSize="9" orientation="landscape" horizontalDpi="4294967295" verticalDpi="4294967295" scale="65" fitToWidth="1"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workbookViewId="0">
      <pane ySplit="1" topLeftCell="A2" activePane="bottomLeft" state="frozen"/>
      <selection pane="bottomLeft"/>
    </sheetView>
  </sheetViews>
  <sheetFormatPr defaultRowHeight="15" outlineLevelRow="0" outlineLevelCol="0" x14ac:dyDescent="55"/>
  <cols>
    <col min="1" max="1" width="9" style="1" customWidth="1"/>
    <col min="2" max="2" width="26" style="1" customWidth="1"/>
    <col min="3" max="3" width="62" style="1" customWidth="1"/>
    <col min="4" max="4" width="22" style="1" customWidth="1"/>
    <col min="5" max="5" width="13" style="19" customWidth="1"/>
    <col min="6" max="6" width="14" style="1" customWidth="1"/>
    <col min="7" max="7" width="14" style="21" customWidth="1"/>
    <col min="8" max="8" width="15" style="20" customWidth="1"/>
    <col min="9" max="9" width="13" style="19" customWidth="1"/>
    <col min="10" max="10" width="34" style="1" customWidth="1"/>
  </cols>
  <sheetData>
    <row r="1" ht="55" customHeight="1" spans="1:10" x14ac:dyDescent="0.25">
      <c r="A1" s="9" t="s">
        <v>36</v>
      </c>
      <c r="B1" s="9" t="s">
        <v>45</v>
      </c>
      <c r="C1" s="9" t="s">
        <v>136</v>
      </c>
      <c r="D1" s="9" t="s">
        <v>137</v>
      </c>
      <c r="E1" s="23" t="s">
        <v>138</v>
      </c>
      <c r="F1" s="9" t="s">
        <v>139</v>
      </c>
      <c r="G1" s="25" t="s">
        <v>140</v>
      </c>
      <c r="H1" s="24" t="s">
        <v>141</v>
      </c>
      <c r="I1" s="23" t="s">
        <v>142</v>
      </c>
      <c r="J1" s="9" t="s">
        <v>143</v>
      </c>
    </row>
    <row r="2" ht="23.5" customHeight="1" spans="1:10" x14ac:dyDescent="0.25">
      <c r="A2" s="27" t="s">
        <v>60</v>
      </c>
      <c r="B2" s="27" t="s">
        <v>58</v>
      </c>
      <c r="C2" s="42" t="s">
        <v>144</v>
      </c>
      <c r="D2" s="27" t="s">
        <v>145</v>
      </c>
      <c r="E2" s="26">
        <v>46295</v>
      </c>
      <c r="F2" s="27" t="s">
        <v>146</v>
      </c>
      <c r="G2" s="17">
        <v>0.03</v>
      </c>
      <c r="H2" s="29">
        <f>IF($G2="","",ROUND(Parameter!$B$8*$G2*Parameter!$B$9,2))</f>
        <v>22320</v>
      </c>
      <c r="I2" s="26"/>
      <c r="J2" s="27"/>
    </row>
    <row r="3" ht="23.5" customHeight="1" spans="1:10" x14ac:dyDescent="0.25">
      <c r="A3" s="27" t="s">
        <v>75</v>
      </c>
      <c r="B3" s="27" t="s">
        <v>74</v>
      </c>
      <c r="C3" s="42" t="s">
        <v>147</v>
      </c>
      <c r="D3" s="27" t="s">
        <v>145</v>
      </c>
      <c r="E3" s="26">
        <v>46280</v>
      </c>
      <c r="F3" s="27" t="s">
        <v>148</v>
      </c>
      <c r="G3" s="17">
        <v>0.01</v>
      </c>
      <c r="H3" s="29">
        <f>IF($G3="","",ROUND(Parameter!$B$8*$G3*Parameter!$B$9,2))</f>
        <v>7440</v>
      </c>
      <c r="I3" s="26"/>
      <c r="J3" s="27"/>
    </row>
    <row r="4" ht="23.5" customHeight="1" spans="1:10" x14ac:dyDescent="0.25">
      <c r="A4" s="27" t="s">
        <v>71</v>
      </c>
      <c r="B4" s="27" t="s">
        <v>69</v>
      </c>
      <c r="C4" s="42" t="s">
        <v>149</v>
      </c>
      <c r="D4" s="27" t="s">
        <v>150</v>
      </c>
      <c r="E4" s="26">
        <v>46326</v>
      </c>
      <c r="F4" s="27" t="s">
        <v>151</v>
      </c>
      <c r="G4" s="17">
        <v>0.005</v>
      </c>
      <c r="H4" s="29">
        <f>IF($G4="","",ROUND(Parameter!$B$8*$G4*Parameter!$B$9,2))</f>
        <v>3720</v>
      </c>
      <c r="I4" s="26"/>
      <c r="J4" s="27"/>
    </row>
    <row r="5" ht="23.5" customHeight="1" spans="1:10" x14ac:dyDescent="0.25">
      <c r="A5" s="27" t="s">
        <v>81</v>
      </c>
      <c r="B5" s="27" t="s">
        <v>80</v>
      </c>
      <c r="C5" s="42" t="s">
        <v>152</v>
      </c>
      <c r="D5" s="27" t="s">
        <v>153</v>
      </c>
      <c r="E5" s="26">
        <v>46310</v>
      </c>
      <c r="F5" s="27" t="s">
        <v>146</v>
      </c>
      <c r="G5" s="17">
        <v>0.005</v>
      </c>
      <c r="H5" s="29">
        <f>IF($G5="","",ROUND(Parameter!$B$8*$G5*Parameter!$B$9,2))</f>
        <v>3720</v>
      </c>
      <c r="I5" s="26"/>
      <c r="J5" s="27"/>
    </row>
    <row r="6" ht="13" customHeight="1" spans="1:10" x14ac:dyDescent="0.25">
      <c r="A6" s="27" t="s">
        <v>85</v>
      </c>
      <c r="B6" s="27" t="s">
        <v>84</v>
      </c>
      <c r="C6" s="42" t="s">
        <v>154</v>
      </c>
      <c r="D6" s="27" t="s">
        <v>145</v>
      </c>
      <c r="E6" s="26">
        <v>46295</v>
      </c>
      <c r="F6" s="27" t="s">
        <v>151</v>
      </c>
      <c r="G6" s="17">
        <v>0.005</v>
      </c>
      <c r="H6" s="29">
        <f>IF($G6="","",ROUND(Parameter!$B$8*$G6*Parameter!$B$9,2))</f>
        <v>3720</v>
      </c>
      <c r="I6" s="26"/>
      <c r="J6" s="27"/>
    </row>
    <row r="7" spans="1:10" x14ac:dyDescent="0.25">
      <c r="A7" s="27"/>
      <c r="B7" s="27"/>
      <c r="C7" s="42"/>
      <c r="D7" s="27"/>
      <c r="E7" s="26"/>
      <c r="F7" s="27"/>
      <c r="G7" s="17"/>
      <c r="H7" s="29" t="str">
        <f>IF($G7="","",ROUND(Parameter!$B$8*$G7*Parameter!$B$9,2))</f>
        <v/>
      </c>
      <c r="I7" s="26"/>
      <c r="J7" s="27"/>
    </row>
    <row r="8" spans="1:10" x14ac:dyDescent="0.25">
      <c r="A8" s="27"/>
      <c r="B8" s="27"/>
      <c r="C8" s="42"/>
      <c r="D8" s="27"/>
      <c r="E8" s="26"/>
      <c r="F8" s="27"/>
      <c r="G8" s="17"/>
      <c r="H8" s="29" t="str">
        <f>IF($G8="","",ROUND(Parameter!$B$8*$G8*Parameter!$B$9,2))</f>
        <v/>
      </c>
      <c r="I8" s="26"/>
      <c r="J8" s="27"/>
    </row>
    <row r="9" spans="1:10" x14ac:dyDescent="0.25">
      <c r="A9" s="27"/>
      <c r="B9" s="27"/>
      <c r="C9" s="42"/>
      <c r="D9" s="27"/>
      <c r="E9" s="26"/>
      <c r="F9" s="27"/>
      <c r="G9" s="17"/>
      <c r="H9" s="29" t="str">
        <f>IF($G9="","",ROUND(Parameter!$B$8*$G9*Parameter!$B$9,2))</f>
        <v/>
      </c>
      <c r="I9" s="26"/>
      <c r="J9" s="27"/>
    </row>
    <row r="10" spans="1:10" x14ac:dyDescent="0.25">
      <c r="A10" s="27"/>
      <c r="B10" s="27"/>
      <c r="C10" s="42"/>
      <c r="D10" s="27"/>
      <c r="E10" s="26"/>
      <c r="F10" s="27"/>
      <c r="G10" s="17"/>
      <c r="H10" s="29" t="str">
        <f>IF($G10="","",ROUND(Parameter!$B$8*$G10*Parameter!$B$9,2))</f>
        <v/>
      </c>
      <c r="I10" s="26"/>
      <c r="J10" s="27"/>
    </row>
    <row r="11" spans="1:10" x14ac:dyDescent="0.25">
      <c r="A11" s="27"/>
      <c r="B11" s="27"/>
      <c r="C11" s="42"/>
      <c r="D11" s="27"/>
      <c r="E11" s="26"/>
      <c r="F11" s="27"/>
      <c r="G11" s="17"/>
      <c r="H11" s="29" t="str">
        <f>IF($G11="","",ROUND(Parameter!$B$8*$G11*Parameter!$B$9,2))</f>
        <v/>
      </c>
      <c r="I11" s="26"/>
      <c r="J11" s="27"/>
    </row>
    <row r="12" spans="1:10" x14ac:dyDescent="0.25">
      <c r="A12" s="27"/>
      <c r="B12" s="27"/>
      <c r="C12" s="42"/>
      <c r="D12" s="27"/>
      <c r="E12" s="26"/>
      <c r="F12" s="27"/>
      <c r="G12" s="17"/>
      <c r="H12" s="29" t="str">
        <f>IF($G12="","",ROUND(Parameter!$B$8*$G12*Parameter!$B$9,2))</f>
        <v/>
      </c>
      <c r="I12" s="26"/>
      <c r="J12" s="27"/>
    </row>
    <row r="13" spans="1:10" x14ac:dyDescent="0.25">
      <c r="A13" s="27"/>
      <c r="B13" s="27"/>
      <c r="C13" s="42"/>
      <c r="D13" s="27"/>
      <c r="E13" s="26"/>
      <c r="F13" s="27"/>
      <c r="G13" s="17"/>
      <c r="H13" s="29" t="str">
        <f>IF($G13="","",ROUND(Parameter!$B$8*$G13*Parameter!$B$9,2))</f>
        <v/>
      </c>
      <c r="I13" s="26"/>
      <c r="J13" s="27"/>
    </row>
    <row r="14" spans="1:10" x14ac:dyDescent="0.25">
      <c r="A14" s="27"/>
      <c r="B14" s="27"/>
      <c r="C14" s="42"/>
      <c r="D14" s="27"/>
      <c r="E14" s="26"/>
      <c r="F14" s="27"/>
      <c r="G14" s="17"/>
      <c r="H14" s="29" t="str">
        <f>IF($G14="","",ROUND(Parameter!$B$8*$G14*Parameter!$B$9,2))</f>
        <v/>
      </c>
      <c r="I14" s="26"/>
      <c r="J14" s="27"/>
    </row>
    <row r="15" spans="1:10" x14ac:dyDescent="0.25">
      <c r="A15" s="27"/>
      <c r="B15" s="27"/>
      <c r="C15" s="42"/>
      <c r="D15" s="27"/>
      <c r="E15" s="26"/>
      <c r="F15" s="27"/>
      <c r="G15" s="17"/>
      <c r="H15" s="29" t="str">
        <f>IF($G15="","",ROUND(Parameter!$B$8*$G15*Parameter!$B$9,2))</f>
        <v/>
      </c>
      <c r="I15" s="26"/>
      <c r="J15" s="27"/>
    </row>
    <row r="17" spans="1:8" x14ac:dyDescent="0.25">
      <c r="A17" s="6" t="s">
        <v>92</v>
      </c>
      <c r="H17" s="33">
        <f>SUM(H$2:H$15)</f>
        <v>40920</v>
      </c>
    </row>
    <row r="19" ht="23.5" customHeight="1" spans="1:8" x14ac:dyDescent="0.25">
      <c r="A19" s="7"/>
      <c r="B19" s="13" t="s">
        <v>155</v>
      </c>
      <c r="C19" s="13"/>
      <c r="D19" s="13"/>
      <c r="E19" s="13"/>
      <c r="F19" s="13"/>
      <c r="G19" s="13"/>
      <c r="H19" s="13"/>
    </row>
  </sheetData>
  <sheetProtection sheet="1" insertRows="0" deleteRows="0" sort="0" autoFilter="0"/>
  <autoFilter ref="A1:J1"/>
  <mergeCells count="1">
    <mergeCell ref="B19:H19"/>
  </mergeCells>
  <dataValidations count="6">
    <dataValidation type="list" showErrorMessage="1" errorTitle="Nicht in der Liste" error="Zulässig sind: Finanzierung geplatzt, Eigenkapital fehlt, Kaufpreis nachverhandelt, Bauzeit zu lang, Bemusterung eskaliert, Objektmangel, Persönliche Gründe, Widerruf Fernabsatz, Wettbewerbsangebot, Unterlagen unklar, Vertrauensverlust" sqref="B10:B15">
      <formula1>"Finanzierung geplatzt,Eigenkapital fehlt,Kaufpreis nachverhandelt,Bauzeit zu lang,Bemusterung eskaliert,Objektmangel,Persönliche Gründe,Widerruf Fernabsatz,Wettbewerbsangebot,Unterlagen unklar,Vertrauensverlust"</formula1>
    </dataValidation>
    <dataValidation type="list" showErrorMessage="1" errorTitle="Nicht in der Liste" error="Zulässig sind: Finanzierung geplatzt, Eigenkapital fehlt, Kaufpreis nachverhandelt, Bauzeit zu lang, Bemusterung eskaliert, Objektmangel, Persönliche Gründe, Widerruf Fernabsatz, Wettbewerbsangebot, Unterlagen unklar, Vertrauensverlust" sqref="B2:B15">
      <formula1>"Finanzierung geplatzt,Eigenkapital fehlt,Kaufpreis nachverhandelt,Bauzeit zu lang,Bemusterung eskaliert,Objektmangel,Persönliche Gründe,Widerruf Fernabsatz,Wettbewerbsangebot,Unterlagen unklar,Vertrauensverlust"</formula1>
    </dataValidation>
    <dataValidation type="list" showErrorMessage="1" errorTitle="Nicht in der Liste" error="Zulässig sind: offen, in Arbeit, umgesetzt, verworfen" sqref="F10:F15">
      <formula1>"offen,in Arbeit,umgesetzt,verworfen"</formula1>
    </dataValidation>
    <dataValidation type="list" showErrorMessage="1" errorTitle="Nicht in der Liste" error="Zulässig sind: offen, in Arbeit, umgesetzt, verworfen" sqref="F2:F15">
      <formula1>"offen,in Arbeit,umgesetzt,verworfen"</formula1>
    </dataValidation>
    <dataValidation type="decimal" allowBlank="1" showErrorMessage="1" errorTitle="Wert außerhalb des Bereichs" error="Zulässig sind Werte zwischen 0 und 1." sqref="G10:G15">
      <formula1>0</formula1>
      <formula2>1</formula2>
    </dataValidation>
    <dataValidation type="decimal" allowBlank="1" showErrorMessage="1" errorTitle="Wert außerhalb des Bereichs" error="Zulässig sind Werte zwischen 0 und 1." sqref="G2:G15">
      <formula1>0</formula1>
      <formula2>1</formula2>
    </dataValidation>
  </dataValidations>
  <pageMargins left="0.6" right="0.4" top="0.6" bottom="0.6" header="0.3" footer="0.3"/>
  <pageSetup paperSize="9" orientation="landscape" horizontalDpi="4294967295" verticalDpi="4294967295" scale="100"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Deckblatt</vt:lpstr>
      <vt:lpstr>Parameter</vt:lpstr>
      <vt:lpstr>Stornofälle</vt:lpstr>
      <vt:lpstr>Pareto</vt:lpstr>
      <vt:lpstr>Maßnahmen</vt:lpstr>
    </vt:vector>
  </TitlesOfParts>
  <Company>MyInvest Pro</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MyInvest Pro</dc:creator>
  <dc:title>Storno-Ursachenanalyse</dc:title>
  <dc:subject/>
  <dc:description/>
  <cp:keywords/>
  <cp:category/>
  <cp:lastModifiedBy>MyInvest Pro</cp:lastModifiedBy>
  <dcterms:created xsi:type="dcterms:W3CDTF">2026-08-16T00:00:00Z</dcterms:created>
  <dcterms:modified xsi:type="dcterms:W3CDTF">2026-08-16T00:00:00Z</dcterms:modified>
</cp:coreProperties>
</file>