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Eckdaten" state="visible" r:id="rId5"/>
    <sheet sheetId="3" name="Meilensteine" state="visible" r:id="rId6"/>
    <sheet sheetId="4" name="Vermarktungsverlauf" state="visible" r:id="rId7"/>
  </sheets>
  <definedNames>
    <definedName name="_xlnm.Print_Area" localSheetId="0">'Deckblatt'!$A1:$B19</definedName>
    <definedName name="_xlnm.Print_Area" localSheetId="1">'Eckdaten'!$A1:$C30</definedName>
    <definedName name="_xlnm.Print_Titles" localSheetId="1">'Eckdaten'!$1:$1</definedName>
    <definedName name="_xlnm.Print_Area" localSheetId="2">'Meilensteine'!$A1:$L29</definedName>
    <definedName name="_xlnm.Print_Titles" localSheetId="2">'Meilensteine'!$1:$1</definedName>
    <definedName name="_xlnm.Print_Area" localSheetId="3">'Vermarktungsverlauf'!$A1:$L17</definedName>
    <definedName name="_xlnm.Print_Titles" localSheetId="3">'Vermarktungsverlauf'!$1:$1</definedName>
  </definedNames>
  <calcPr calcId="171027"/>
</workbook>
</file>

<file path=xl/sharedStrings.xml><?xml version="1.0" encoding="utf-8"?>
<sst xmlns="http://schemas.openxmlformats.org/spreadsheetml/2006/main" count="157" uniqueCount="126">
  <si>
    <t>Vertriebsstart-Fahrplan</t>
  </si>
  <si>
    <t>Vom Baustart rückwärts gerechnet: Wann die Vorvermarktung beginnen muss und was sie je Monat liefern muss.</t>
  </si>
  <si>
    <t>Stand</t>
  </si>
  <si>
    <t>16.08.2026</t>
  </si>
  <si>
    <t>Version</t>
  </si>
  <si>
    <t>Herausgeber</t>
  </si>
  <si>
    <t>MyInvest Pro · myinvest-pro.de</t>
  </si>
  <si>
    <t>Annahmen</t>
  </si>
  <si>
    <t>Beispielprojekt</t>
  </si>
  <si>
    <t>48 Einheiten, Baugenehmigung 10.03.2026, Baubeginn 01.04.2027</t>
  </si>
  <si>
    <t>Quoten</t>
  </si>
  <si>
    <t>40 % Vorverkaufsquote bei Baustart, 8 % Abschlussquote von Lead bis Beurkundung</t>
  </si>
  <si>
    <t>Zeiten</t>
  </si>
  <si>
    <t>95 Tage Vertriebszyklus, 45 Tage Unterlagenvorlauf, 30 Tage Puffer</t>
  </si>
  <si>
    <t>Meilensteine</t>
  </si>
  <si>
    <t>15 Termine an drei Ankern, 26 Zeilen vorbereitet</t>
  </si>
  <si>
    <t>Stichtag</t>
  </si>
  <si>
    <t>16.08.2026 — sechs Wochen nach Vertriebsstart, damit Soll und Ist nebeneinanderstehen</t>
  </si>
  <si>
    <t>Ergebnis im Beispiel</t>
  </si>
  <si>
    <t>spätester Vertriebsstart 27.11.2026, 238 Leads insgesamt, 41 je Monat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</si>
  <si>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</si>
  <si>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Eckdatum</t>
  </si>
  <si>
    <t>Wert</t>
  </si>
  <si>
    <t>Erläuterung und Wirkung</t>
  </si>
  <si>
    <t>Termine des Bauabschnitts</t>
  </si>
  <si>
    <t>Baugenehmigung erteilt am</t>
  </si>
  <si>
    <t>Erster Ankertermin. Alles, was vor dem Vertrieb liegt, hängt daran — die Genehmigung ist der Tag, ab dem verbindlich geplant werden kann.</t>
  </si>
  <si>
    <t>Vertriebsstart, geplant</t>
  </si>
  <si>
    <t>Zweiter Ankertermin und zugleich die Zahl, die diese Mappe prüft: Die Rückrechnung unten sagt, ob dieses Datum früh genug liegt.</t>
  </si>
  <si>
    <t>Baubeginn, geplant</t>
  </si>
  <si>
    <t>Dritter Ankertermin. Verschiebt er sich, wandern alle daran hängenden Soll-Daten auf Blatt „Meilensteine" mit.</t>
  </si>
  <si>
    <t>Stichtag dieser Betrachtung</t>
  </si>
  <si>
    <t>Bezugstag für Restlaufzeit und Status. Bewusst kein TODAY() — sonst änderte die Mappe ihre Aussage von selbst, ohne dass jemand hingesehen hat.</t>
  </si>
  <si>
    <t>Mengengerüst und Quoten</t>
  </si>
  <si>
    <t>Einheiten im Bauabschnitt</t>
  </si>
  <si>
    <t>Zielquote bei Baustart</t>
  </si>
  <si>
    <t>Die Vorverkaufsquote, die die Finanzierung verlangt. Sie steht im Darlehensvertrag und ist keine Vertriebsvorgabe — deshalb gehört sie hierher und nicht in den Monatsplan.</t>
  </si>
  <si>
    <t>Abschlussquote Lead bis Beurkundung</t>
  </si>
  <si>
    <t>Aus der eigenen Historie, nicht aus einer Branchenzahl. Wer sie nicht kennt, rechnet mit dem schlechteren von zwei plausiblen Werten und korrigiert nach drei Monaten.</t>
  </si>
  <si>
    <t>Vertriebszyklus in Tagen</t>
  </si>
  <si>
    <t>Vom Erstkontakt bis zur Beurkundung. Diese Spanne ist der Grund, warum ein später Vertriebsstart nicht durch mehr Leads aufzuholen ist: Der letzte brauchbare Lead kommt genau so viele Tage vor dem Baustart.</t>
  </si>
  <si>
    <t>Vorlauf für Unterlagen in Tagen</t>
  </si>
  <si>
    <t>Zeit nach der Baugenehmigung, bis Preisliste, Exposé und Datenraum stehen. Vorher zu starten heißt, mit unfertigen Unterlagen zu verkaufen.</t>
  </si>
  <si>
    <t>Sicherheitspuffer in Tagen</t>
  </si>
  <si>
    <t>Reserve für Notartermine, Finanzierungszusagen und Rückläufer. Ohne Puffer ist der späteste Start ein Termin ohne jede Toleranz.</t>
  </si>
  <si>
    <t>Rückrechnung vom Baustart — abgeleitet, geschützt</t>
  </si>
  <si>
    <t>Nötige Beurkundungen bis Baustart</t>
  </si>
  <si>
    <t>Einheiten mal Zielquote. Die einzige Zahl, an der die Finanzierung hängt.</t>
  </si>
  <si>
    <t>Nötige Leads insgesamt</t>
  </si>
  <si>
    <t>Aufgerundet, nicht kaufmännisch: Ein halber Lead kauft nichts. Bei einer Abschlussquote von wenigen Prozent macht das Runden mehrere Anfragen aus.</t>
  </si>
  <si>
    <t>Frühestmöglicher Vertriebsstart</t>
  </si>
  <si>
    <t>Baugenehmigung plus Vorlauf für die Unterlagen.</t>
  </si>
  <si>
    <t>Spätester Vertriebsstart</t>
  </si>
  <si>
    <t>Die Zahl, wegen der es diese Mappe gibt: Baubeginn minus Vertriebszyklus minus Puffer. Wer danach startet, erreicht die Quote rechnerisch nicht mehr — unabhängig vom Budget.</t>
  </si>
  <si>
    <t>Bewertung des geplanten Starts</t>
  </si>
  <si>
    <t>Vermarktungsfenster in Tagen</t>
  </si>
  <si>
    <t>Die Spanne, in der ein neu gewonnener Lead noch rechtzeitig zur Beurkundung kommt — nicht die Spanne bis zum Baubeginn.</t>
  </si>
  <si>
    <t>Vermarktungsfenster in Monaten</t>
  </si>
  <si>
    <t>Nötige Leads je Monat</t>
  </si>
  <si>
    <t>Diese Zahl gehört in den Marketingplan. Sie ist die Übersetzung der Vorverkaufsquote in eine Größe, die eine Kampagne steuern kann.</t>
  </si>
  <si>
    <t>Nötige Beurkundungen je Monat</t>
  </si>
  <si>
    <t>Tage bis zum spätesten Vertriebsstart</t>
  </si>
  <si>
    <t>Negativ heißt: Der Entschluss ist bereits gefallen, auch wenn niemand ihn getroffen hat.</t>
  </si>
  <si>
    <t>Noch nötige Beurkundungen je Monat ab Stichtag</t>
  </si>
  <si>
    <t>Die ehrlichste Zahl der Mappe: das Tempo, das ab heute nötig ist — nach Abzug dessen, was auf Blatt „Vermarktungsverlauf" bereits beurkundet wurde.</t>
  </si>
  <si>
    <t>Ankertermine — Nachschlagewerk für die Meilensteine</t>
  </si>
  <si>
    <t>Baugenehmigung</t>
  </si>
  <si>
    <t>Blatt „Meilensteine" schlägt hier nach. Ein Meilenstein trägt deshalb nie ein getipptes Datum, sondern einen Anker und einen Versatz in Tagen.</t>
  </si>
  <si>
    <t>Vertriebsstart</t>
  </si>
  <si>
    <t>Baubeginn</t>
  </si>
  <si>
    <t>Nr.</t>
  </si>
  <si>
    <t>Meilenstein</t>
  </si>
  <si>
    <t>Verantwortlich</t>
  </si>
  <si>
    <t>Anker</t>
  </si>
  <si>
    <t>Versatz in Tagen</t>
  </si>
  <si>
    <t>Soll-Datum</t>
  </si>
  <si>
    <t>Ist-Datum</t>
  </si>
  <si>
    <t>Abweichung in Tagen</t>
  </si>
  <si>
    <t>Restlaufzeit in Tagen</t>
  </si>
  <si>
    <t>Status</t>
  </si>
  <si>
    <t>Nachweis in der Projektakte</t>
  </si>
  <si>
    <t>Bemerkung</t>
  </si>
  <si>
    <t>Baugenehmigung erteilt und zugestellt</t>
  </si>
  <si>
    <t>Projektleitung</t>
  </si>
  <si>
    <t>Bescheid in der Projektakte</t>
  </si>
  <si>
    <t>Teilungserklärung beim Notar eingereicht</t>
  </si>
  <si>
    <t>Eingangsbestätigung des Notariats</t>
  </si>
  <si>
    <t>Abgeschlossenheitsbescheinigung beantragt</t>
  </si>
  <si>
    <t>Antrag mit Eingangsstempel</t>
  </si>
  <si>
    <t>Baubeschreibung und Bemusterungskatalog freigegeben</t>
  </si>
  <si>
    <t>Bauleitung</t>
  </si>
  <si>
    <t>Freigabevermerk</t>
  </si>
  <si>
    <t>Kalkulation und Preisliste in Fassung 1 freigegeben</t>
  </si>
  <si>
    <t>Kaufmännische Leitung</t>
  </si>
  <si>
    <t>Preisliste mit Versionskopf</t>
  </si>
  <si>
    <t>Exposé, Grundrisse und Visualisierung fertig</t>
  </si>
  <si>
    <t>Marketing</t>
  </si>
  <si>
    <t>Freigegebene Druckdaten</t>
  </si>
  <si>
    <t>Datenraum eingerichtet, Rechte je Rolle vergeben</t>
  </si>
  <si>
    <t>Berechtigungsmatrix, gegengezeichnet</t>
  </si>
  <si>
    <t>Vertriebspartner gebrieft und freigeschaltet</t>
  </si>
  <si>
    <t>Vertriebsleitung</t>
  </si>
  <si>
    <t>Teilnehmerliste des Briefings</t>
  </si>
  <si>
    <t>Reservierungsstrecke und Formulare geprüft</t>
  </si>
  <si>
    <t>Prüfvermerk</t>
  </si>
  <si>
    <t>Vorvermarktung startet</t>
  </si>
  <si>
    <t>Startfreigabe</t>
  </si>
  <si>
    <t>Erste Reservierungen ausgewertet, Preisannahmen geprüft</t>
  </si>
  <si>
    <t/>
  </si>
  <si>
    <t>Zwischenstand der Vorverkaufsquote an die Bank</t>
  </si>
  <si>
    <t>Vorverkaufsquote für die Finanzierung erreicht</t>
  </si>
  <si>
    <t>Finanzierungsfreigabe für den Baustart</t>
  </si>
  <si>
    <t>Kein Soll-Datum wird getippt. Es entsteht aus Anker und Versatz — verschiebt sich der Baubeginn, wandern alle daran hängenden Termine mit, statt einzeln nachgepflegt zu werden. „Erledigt, verspätet" bleibt bewusst als eigener Status stehen: Ein abgehakter Meilenstein, der zwei Wochen zu spät kam, ist kein erledigter Meilenstein, sondern eine Ursache für den nächsten Verzug.</t>
  </si>
  <si>
    <t>Monat</t>
  </si>
  <si>
    <t>Leads Soll</t>
  </si>
  <si>
    <t>Leads Ist</t>
  </si>
  <si>
    <t>Erstgespräche</t>
  </si>
  <si>
    <t>Besichtigungen</t>
  </si>
  <si>
    <t>Reservierungen</t>
  </si>
  <si>
    <t>Beurkundungen</t>
  </si>
  <si>
    <t>Beurkundungen kumuliert</t>
  </si>
  <si>
    <t>Vorverkaufsquote</t>
  </si>
  <si>
    <t>Abstand zum Ziel in Einheiten</t>
  </si>
  <si>
    <t>Lead-Erfüllung</t>
  </si>
  <si>
    <t>Summe</t>
  </si>
  <si>
    <t>Die Spalte „Leads Soll" ist kein Plan, sondern die Rückrechnung aus Blatt „Eckdaten" — sie ändert sich mit, sobald Zielquote, Abschlussquote oder Vertriebszyklus angepasst werden. Fällt die Lead-Erfüllung zwei Monate hintereinander unter 100 Prozent, ist die Vorverkaufsquote am Baustart bereits verloren; sichtbar wird das aber erst über die Spalte „Abstand zur Zielquote".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</si>
</sst>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0.0 %"/>
    <numFmt numFmtId="166" formatCode="+0;-0;0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/>
    <xf numFmtId="0" fontId="1" fillId="2" borderId="2" xfId="0" applyFont="1" applyFill="1" applyBorder="1"/>
    <xf numFmtId="164" fontId="1" fillId="3" borderId="0" xfId="0" applyNumberFormat="1" applyFont="1" applyFill="1" applyAlignment="1" applyProtection="1">
      <alignment vertical="top"/>
      <protection locked="0"/>
    </xf>
    <xf numFmtId="0" fontId="6" fillId="0" borderId="0" xfId="0" applyFont="1" applyAlignment="1">
      <alignment vertical="top" wrapText="1" indent="1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165" fontId="1" fillId="3" borderId="0" xfId="0" applyNumberFormat="1" applyFont="1" applyFill="1" applyAlignment="1" applyProtection="1">
      <alignment horizontal="right" vertical="top" indent="1"/>
      <protection locked="0"/>
    </xf>
    <xf numFmtId="3" fontId="5" fillId="0" borderId="0" xfId="0" applyNumberFormat="1" applyFont="1" applyAlignment="1" applyProtection="1">
      <alignment horizontal="right" vertical="top" indent="1"/>
    </xf>
    <xf numFmtId="164" fontId="5" fillId="0" borderId="0" xfId="0" applyNumberFormat="1" applyFont="1" applyAlignment="1" applyProtection="1">
      <alignment horizontal="right" vertical="top" indent="1"/>
    </xf>
    <xf numFmtId="0" fontId="5" fillId="0" borderId="0" xfId="0" applyFont="1" applyAlignment="1" applyProtection="1">
      <alignment horizontal="right" vertical="top" indent="1"/>
    </xf>
    <xf numFmtId="4" fontId="5" fillId="0" borderId="0" xfId="0" applyNumberFormat="1" applyFont="1" applyAlignment="1" applyProtection="1">
      <alignment horizontal="right" vertical="top" indent="1"/>
    </xf>
    <xf numFmtId="3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3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 applyProtection="1">
      <alignment vertical="top" wrapText="1" indent="1"/>
      <protection locked="0"/>
    </xf>
    <xf numFmtId="0" fontId="1" fillId="3" borderId="0" xfId="0" applyFont="1" applyFill="1" applyAlignment="1" applyProtection="1">
      <alignment vertical="top" indent="1"/>
      <protection locked="0"/>
    </xf>
    <xf numFmtId="164" fontId="1" fillId="0" borderId="0" xfId="0" applyNumberFormat="1" applyFont="1" applyAlignment="1" applyProtection="1">
      <alignment horizontal="right" vertical="top" indent="1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166" fontId="1" fillId="0" borderId="0" xfId="0" applyNumberFormat="1" applyFont="1" applyAlignment="1" applyProtection="1">
      <alignment horizontal="right" vertical="top" indent="1"/>
    </xf>
    <xf numFmtId="3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1"/>
    </xf>
    <xf numFmtId="3" fontId="1" fillId="0" borderId="0" xfId="0" applyNumberFormat="1" applyFont="1" applyAlignment="1">
      <alignment vertical="top"/>
    </xf>
    <xf numFmtId="165" fontId="1" fillId="0" borderId="0" xfId="0" applyNumberFormat="1" applyFont="1"/>
    <xf numFmtId="165" fontId="5" fillId="2" borderId="1" xfId="0" applyNumberFormat="1" applyFont="1" applyFill="1" applyBorder="1" applyAlignment="1">
      <alignment vertical="center" wrapText="1"/>
    </xf>
    <xf numFmtId="165" fontId="1" fillId="0" borderId="0" xfId="0" applyNumberFormat="1" applyFont="1" applyAlignment="1" applyProtection="1">
      <alignment horizontal="right" vertical="top" indent="1"/>
    </xf>
    <xf numFmtId="164" fontId="5" fillId="0" borderId="0" xfId="0" applyNumberFormat="1" applyFont="1"/>
    <xf numFmtId="164" fontId="1" fillId="0" borderId="0" xfId="0" applyNumberFormat="1" applyFont="1" applyAlignment="1">
      <alignment vertical="top"/>
    </xf>
    <xf numFmtId="3" fontId="6" fillId="0" borderId="0" xfId="0" applyNumberFormat="1" applyFont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13" customHeight="1" spans="1:2" x14ac:dyDescent="0.25">
      <c r="A12" s="7" t="s">
        <v>8</v>
      </c>
      <c r="B12" s="2" t="s">
        <v>9</v>
      </c>
    </row>
    <row r="13" ht="23.5" customHeight="1" spans="1:2" x14ac:dyDescent="0.25">
      <c r="A13" s="7" t="s">
        <v>10</v>
      </c>
      <c r="B13" s="2" t="s">
        <v>11</v>
      </c>
    </row>
    <row r="14" ht="13" customHeight="1" spans="1:2" x14ac:dyDescent="0.25">
      <c r="A14" s="7" t="s">
        <v>12</v>
      </c>
      <c r="B14" s="2" t="s">
        <v>13</v>
      </c>
    </row>
    <row r="15" ht="13" customHeight="1" spans="1:2" x14ac:dyDescent="0.25">
      <c r="A15" s="7" t="s">
        <v>14</v>
      </c>
      <c r="B15" s="2" t="s">
        <v>15</v>
      </c>
    </row>
    <row r="16" ht="23.5" customHeight="1" spans="1:2" x14ac:dyDescent="0.25">
      <c r="A16" s="7" t="s">
        <v>16</v>
      </c>
      <c r="B16" s="2" t="s">
        <v>17</v>
      </c>
    </row>
    <row r="17" ht="23.5" customHeight="1" spans="1:2" x14ac:dyDescent="0.25">
      <c r="A17" s="7" t="s">
        <v>18</v>
      </c>
      <c r="B17" s="2" t="s">
        <v>19</v>
      </c>
    </row>
    <row r="19" ht="46" customHeight="1" spans="1:2" x14ac:dyDescent="0.25">
      <c r="A19" s="8" t="s">
        <v>20</v>
      </c>
      <c r="B19" s="8"/>
    </row>
  </sheetData>
  <sheetProtection sheet="1" insertRows="0" deleteRows="0" sort="0" autoFilter="0"/>
  <mergeCells count="1">
    <mergeCell ref="A19:B19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style="1" customWidth="1"/>
    <col min="2" max="2" width="16" style="1" customWidth="1"/>
    <col min="3" max="3" width="74" style="1" customWidth="1"/>
  </cols>
  <sheetData>
    <row r="1" ht="22" customHeight="1" spans="1:3" x14ac:dyDescent="0.25">
      <c r="A1" s="9" t="s">
        <v>21</v>
      </c>
      <c r="B1" s="9" t="s">
        <v>22</v>
      </c>
      <c r="C1" s="9" t="s">
        <v>23</v>
      </c>
    </row>
    <row r="3" spans="1:3" x14ac:dyDescent="0.25">
      <c r="A3" s="10" t="s">
        <v>24</v>
      </c>
      <c r="B3" s="11"/>
      <c r="C3" s="11"/>
    </row>
    <row r="4" ht="23.5" customHeight="1" spans="1:3" x14ac:dyDescent="0.25">
      <c r="A4" s="7" t="s">
        <v>25</v>
      </c>
      <c r="B4" s="12">
        <v>46091</v>
      </c>
      <c r="C4" s="13" t="s">
        <v>26</v>
      </c>
    </row>
    <row r="5" ht="23.5" customHeight="1" spans="1:3" x14ac:dyDescent="0.25">
      <c r="A5" s="7" t="s">
        <v>27</v>
      </c>
      <c r="B5" s="12">
        <v>46204</v>
      </c>
      <c r="C5" s="13" t="s">
        <v>28</v>
      </c>
    </row>
    <row r="6" ht="23.5" customHeight="1" spans="1:3" x14ac:dyDescent="0.25">
      <c r="A6" s="7" t="s">
        <v>29</v>
      </c>
      <c r="B6" s="12">
        <v>46478</v>
      </c>
      <c r="C6" s="13" t="s">
        <v>30</v>
      </c>
    </row>
    <row r="7" ht="23.5" customHeight="1" spans="1:3" x14ac:dyDescent="0.25">
      <c r="A7" s="7" t="s">
        <v>31</v>
      </c>
      <c r="B7" s="12">
        <v>46250</v>
      </c>
      <c r="C7" s="13" t="s">
        <v>32</v>
      </c>
    </row>
    <row r="8" spans="1:3" x14ac:dyDescent="0.25">
      <c r="A8" s="10" t="s">
        <v>33</v>
      </c>
      <c r="B8" s="11"/>
      <c r="C8" s="11"/>
    </row>
    <row r="9" spans="1:2" x14ac:dyDescent="0.25">
      <c r="A9" s="1" t="s">
        <v>34</v>
      </c>
      <c r="B9" s="14">
        <v>48</v>
      </c>
    </row>
    <row r="10" ht="23.5" customHeight="1" spans="1:3" x14ac:dyDescent="0.25">
      <c r="A10" s="7" t="s">
        <v>35</v>
      </c>
      <c r="B10" s="15">
        <v>0.4</v>
      </c>
      <c r="C10" s="13" t="s">
        <v>36</v>
      </c>
    </row>
    <row r="11" ht="23.5" customHeight="1" spans="1:3" x14ac:dyDescent="0.25">
      <c r="A11" s="7" t="s">
        <v>37</v>
      </c>
      <c r="B11" s="15">
        <v>0.08</v>
      </c>
      <c r="C11" s="13" t="s">
        <v>38</v>
      </c>
    </row>
    <row r="12" ht="34" customHeight="1" spans="1:3" x14ac:dyDescent="0.25">
      <c r="A12" s="7" t="s">
        <v>39</v>
      </c>
      <c r="B12" s="14">
        <v>95</v>
      </c>
      <c r="C12" s="13" t="s">
        <v>40</v>
      </c>
    </row>
    <row r="13" ht="23.5" customHeight="1" spans="1:3" x14ac:dyDescent="0.25">
      <c r="A13" s="7" t="s">
        <v>41</v>
      </c>
      <c r="B13" s="14">
        <v>45</v>
      </c>
      <c r="C13" s="13" t="s">
        <v>42</v>
      </c>
    </row>
    <row r="14" ht="23.5" customHeight="1" spans="1:3" x14ac:dyDescent="0.25">
      <c r="A14" s="7" t="s">
        <v>43</v>
      </c>
      <c r="B14" s="14">
        <v>30</v>
      </c>
      <c r="C14" s="13" t="s">
        <v>44</v>
      </c>
    </row>
    <row r="15" spans="1:3" x14ac:dyDescent="0.25">
      <c r="A15" s="10" t="s">
        <v>45</v>
      </c>
      <c r="B15" s="11"/>
      <c r="C15" s="11"/>
    </row>
    <row r="16" ht="13" customHeight="1" spans="1:3" x14ac:dyDescent="0.25">
      <c r="A16" s="7" t="s">
        <v>46</v>
      </c>
      <c r="B16" s="16">
        <f>ROUND($B$9*$B$10,0)</f>
        <v>19</v>
      </c>
      <c r="C16" s="13" t="s">
        <v>47</v>
      </c>
    </row>
    <row r="17" ht="23.5" customHeight="1" spans="1:3" x14ac:dyDescent="0.25">
      <c r="A17" s="7" t="s">
        <v>48</v>
      </c>
      <c r="B17" s="16">
        <f>ROUNDUP($B$16/$B$11,0)</f>
        <v>238</v>
      </c>
      <c r="C17" s="13" t="s">
        <v>49</v>
      </c>
    </row>
    <row r="18" ht="13" customHeight="1" spans="1:3" x14ac:dyDescent="0.25">
      <c r="A18" s="7" t="s">
        <v>50</v>
      </c>
      <c r="B18" s="17">
        <f>$B$4+$B$13</f>
        <v>46136</v>
      </c>
      <c r="C18" s="13" t="s">
        <v>51</v>
      </c>
    </row>
    <row r="19" ht="23.5" customHeight="1" spans="1:3" x14ac:dyDescent="0.25">
      <c r="A19" s="7" t="s">
        <v>52</v>
      </c>
      <c r="B19" s="17">
        <f>$B$6-$B$12-$B$14</f>
        <v>46353</v>
      </c>
      <c r="C19" s="13" t="s">
        <v>53</v>
      </c>
    </row>
    <row r="20" spans="1:2" x14ac:dyDescent="0.25">
      <c r="A20" s="1" t="s">
        <v>54</v>
      </c>
      <c r="B20" s="18" t="str">
        <f>IF($B$5&gt;$B$19,"zu spät — der Zyklus reicht nicht bis zum Baustart",IF($B$5&lt;$B$18,"vor dem Vorlauf — die Unterlagen sind noch nicht fertig","im Rahmen"))</f>
        <v>im Rahmen</v>
      </c>
    </row>
    <row r="21" ht="23.5" customHeight="1" spans="1:3" x14ac:dyDescent="0.25">
      <c r="A21" s="7" t="s">
        <v>55</v>
      </c>
      <c r="B21" s="16">
        <f>MAX(0,$B$6-$B$5-$B$12)</f>
        <v>179</v>
      </c>
      <c r="C21" s="13" t="s">
        <v>56</v>
      </c>
    </row>
    <row r="22" spans="1:2" x14ac:dyDescent="0.25">
      <c r="A22" s="1" t="s">
        <v>57</v>
      </c>
      <c r="B22" s="19">
        <f>ROUND($B$21/30.44,1)</f>
        <v>5.9</v>
      </c>
    </row>
    <row r="23" ht="23.5" customHeight="1" spans="1:3" x14ac:dyDescent="0.25">
      <c r="A23" s="7" t="s">
        <v>58</v>
      </c>
      <c r="B23" s="16">
        <f>IF($B$22&gt;0,ROUNDUP($B$17/$B$22,0),"")</f>
        <v>41</v>
      </c>
      <c r="C23" s="13" t="s">
        <v>59</v>
      </c>
    </row>
    <row r="24" spans="1:2" x14ac:dyDescent="0.25">
      <c r="A24" s="1" t="s">
        <v>60</v>
      </c>
      <c r="B24" s="19">
        <f>IF($B$22&gt;0,ROUND($B$16/$B$22,1),"")</f>
        <v>3.2</v>
      </c>
    </row>
    <row r="25" ht="13" customHeight="1" spans="1:3" x14ac:dyDescent="0.25">
      <c r="A25" s="7" t="s">
        <v>61</v>
      </c>
      <c r="B25" s="16">
        <f>$B$19-$B$7</f>
        <v>103</v>
      </c>
      <c r="C25" s="13" t="s">
        <v>62</v>
      </c>
    </row>
    <row r="26" ht="23.5" customHeight="1" spans="1:3" x14ac:dyDescent="0.25">
      <c r="A26" s="7" t="s">
        <v>63</v>
      </c>
      <c r="B26" s="19">
        <f>IF(ROUND(MAX(0,$B$6-$B$7-$B$12)/30.44,1)&gt;0,ROUND(($B$16-Vermarktungsverlauf!$G$15)/ROUND(MAX(0,$B$6-$B$7-$B$12)/30.44,1),1),"")</f>
        <v>3.6</v>
      </c>
      <c r="C26" s="13" t="s">
        <v>64</v>
      </c>
    </row>
    <row r="27" spans="1:3" x14ac:dyDescent="0.25">
      <c r="A27" s="10" t="s">
        <v>65</v>
      </c>
      <c r="B27" s="11"/>
      <c r="C27" s="11"/>
    </row>
    <row r="28" ht="23.5" customHeight="1" spans="1:3" x14ac:dyDescent="0.25">
      <c r="A28" s="7" t="s">
        <v>66</v>
      </c>
      <c r="B28" s="17">
        <f>$B$4</f>
        <v>46091</v>
      </c>
      <c r="C28" s="13" t="s">
        <v>67</v>
      </c>
    </row>
    <row r="29" spans="1:2" x14ac:dyDescent="0.25">
      <c r="A29" s="1" t="s">
        <v>68</v>
      </c>
      <c r="B29" s="17">
        <f>$B$5</f>
        <v>46204</v>
      </c>
    </row>
    <row r="30" spans="1:2" x14ac:dyDescent="0.25">
      <c r="A30" s="1" t="s">
        <v>69</v>
      </c>
      <c r="B30" s="17">
        <f>$B$6</f>
        <v>46478</v>
      </c>
    </row>
  </sheetData>
  <sheetProtection sheet="1" insertRows="0" deleteRows="0" sort="0" autoFilter="0"/>
  <autoFilter ref="A1:C1"/>
  <dataValidations count="5">
    <dataValidation type="decimal" allowBlank="1" showErrorMessage="1" errorTitle="Wert außerhalb des Bereichs" error="Zulässig sind Werte zwischen 0 und 1." sqref="B10">
      <formula1>0</formula1>
      <formula2>1</formula2>
    </dataValidation>
    <dataValidation type="decimal" allowBlank="1" showErrorMessage="1" errorTitle="Wert außerhalb des Bereichs" error="Zulässig sind Werte zwischen 0.001 und 1." sqref="B11">
      <formula1>0.001</formula1>
      <formula2>1</formula2>
    </dataValidation>
    <dataValidation type="decimal" allowBlank="1" showErrorMessage="1" errorTitle="Wert außerhalb des Bereichs" error="Zulässig sind Werte zwischen 1 und 720." sqref="B12">
      <formula1>1</formula1>
      <formula2>720</formula2>
    </dataValidation>
    <dataValidation type="decimal" allowBlank="1" showErrorMessage="1" errorTitle="Wert außerhalb des Bereichs" error="Zulässig sind Werte zwischen 0 und 365." sqref="B13:B14">
      <formula1>0</formula1>
      <formula2>365</formula2>
    </dataValidation>
    <dataValidation type="decimal" allowBlank="1" showErrorMessage="1" errorTitle="Wert außerhalb des Bereichs" error="Zulässig sind Werte zwischen 1 und 2000." sqref="B9">
      <formula1>1</formula1>
      <formula2>2000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style="20" customWidth="1"/>
    <col min="2" max="2" width="50" style="1" customWidth="1"/>
    <col min="3" max="3" width="22" style="1" customWidth="1"/>
    <col min="4" max="4" width="17" style="1" customWidth="1"/>
    <col min="5" max="5" width="12" style="20" customWidth="1"/>
    <col min="6" max="7" width="13" style="21" customWidth="1"/>
    <col min="8" max="8" width="13" style="22" customWidth="1"/>
    <col min="9" max="9" width="16" style="20" customWidth="1"/>
    <col min="10" max="10" width="21" style="1" customWidth="1"/>
    <col min="11" max="11" width="32" style="1" customWidth="1"/>
    <col min="12" max="12" width="28" style="1" customWidth="1"/>
  </cols>
  <sheetData>
    <row r="1" ht="33" customHeight="1" spans="1:12" x14ac:dyDescent="0.25">
      <c r="A1" s="23" t="s">
        <v>70</v>
      </c>
      <c r="B1" s="9" t="s">
        <v>71</v>
      </c>
      <c r="C1" s="9" t="s">
        <v>72</v>
      </c>
      <c r="D1" s="9" t="s">
        <v>73</v>
      </c>
      <c r="E1" s="23" t="s">
        <v>74</v>
      </c>
      <c r="F1" s="24" t="s">
        <v>75</v>
      </c>
      <c r="G1" s="24" t="s">
        <v>76</v>
      </c>
      <c r="H1" s="25" t="s">
        <v>77</v>
      </c>
      <c r="I1" s="23" t="s">
        <v>78</v>
      </c>
      <c r="J1" s="9" t="s">
        <v>79</v>
      </c>
      <c r="K1" s="9" t="s">
        <v>80</v>
      </c>
      <c r="L1" s="9" t="s">
        <v>81</v>
      </c>
    </row>
    <row r="2" ht="13" customHeight="1" spans="1:12" x14ac:dyDescent="0.25">
      <c r="A2" s="14">
        <v>1</v>
      </c>
      <c r="B2" s="26" t="s">
        <v>82</v>
      </c>
      <c r="C2" s="27" t="s">
        <v>83</v>
      </c>
      <c r="D2" s="27" t="s">
        <v>66</v>
      </c>
      <c r="E2" s="14">
        <v>0</v>
      </c>
      <c r="F2" s="28">
        <f>IF(OR($B2="",$D2=""),"",VLOOKUP($D2,Eckdaten!$A$28:$B$30,2,FALSE)+$E2)</f>
        <v>46091</v>
      </c>
      <c r="G2" s="29">
        <v>46091</v>
      </c>
      <c r="H2" s="30">
        <f>IF(OR($F2="",$G2=""),"",$G2-$F2)</f>
        <v>0</v>
      </c>
      <c r="I2" s="31" t="str">
        <f>IF(OR($G2&lt;&gt;"",$F2=""),"",$F2-Eckdaten!$B$7)</f>
        <v/>
      </c>
      <c r="J2" s="32" t="str">
        <f>IF($B2="","",IF($G2&lt;&gt;"",IF($G2&lt;=$F2,"erledigt","erledigt, verspätet"),IF(Eckdaten!$B$7&gt;$F2,"überfällig","offen")))</f>
        <v>erledigt</v>
      </c>
      <c r="K2" s="27" t="s">
        <v>84</v>
      </c>
      <c r="L2" s="27"/>
    </row>
    <row r="3" ht="13" customHeight="1" spans="1:12" x14ac:dyDescent="0.25">
      <c r="A3" s="14">
        <v>2</v>
      </c>
      <c r="B3" s="26" t="s">
        <v>85</v>
      </c>
      <c r="C3" s="27" t="s">
        <v>83</v>
      </c>
      <c r="D3" s="27" t="s">
        <v>66</v>
      </c>
      <c r="E3" s="14">
        <v>14</v>
      </c>
      <c r="F3" s="28">
        <f>IF(OR($B3="",$D3=""),"",VLOOKUP($D3,Eckdaten!$A$28:$B$30,2,FALSE)+$E3)</f>
        <v>46105</v>
      </c>
      <c r="G3" s="29">
        <v>46114</v>
      </c>
      <c r="H3" s="30">
        <f>IF(OR($F3="",$G3=""),"",$G3-$F3)</f>
        <v>9</v>
      </c>
      <c r="I3" s="31" t="str">
        <f>IF(OR($G3&lt;&gt;"",$F3=""),"",$F3-Eckdaten!$B$7)</f>
        <v/>
      </c>
      <c r="J3" s="32" t="str">
        <f>IF($B3="","",IF($G3&lt;&gt;"",IF($G3&lt;=$F3,"erledigt","erledigt, verspätet"),IF(Eckdaten!$B$7&gt;$F3,"überfällig","offen")))</f>
        <v>erledigt, verspätet</v>
      </c>
      <c r="K3" s="27" t="s">
        <v>86</v>
      </c>
      <c r="L3" s="27"/>
    </row>
    <row r="4" ht="13" customHeight="1" spans="1:12" x14ac:dyDescent="0.25">
      <c r="A4" s="14">
        <v>3</v>
      </c>
      <c r="B4" s="26" t="s">
        <v>87</v>
      </c>
      <c r="C4" s="27" t="s">
        <v>83</v>
      </c>
      <c r="D4" s="27" t="s">
        <v>66</v>
      </c>
      <c r="E4" s="14">
        <v>21</v>
      </c>
      <c r="F4" s="28">
        <f>IF(OR($B4="",$D4=""),"",VLOOKUP($D4,Eckdaten!$A$28:$B$30,2,FALSE)+$E4)</f>
        <v>46112</v>
      </c>
      <c r="G4" s="29">
        <v>46120</v>
      </c>
      <c r="H4" s="30">
        <f>IF(OR($F4="",$G4=""),"",$G4-$F4)</f>
        <v>8</v>
      </c>
      <c r="I4" s="31" t="str">
        <f>IF(OR($G4&lt;&gt;"",$F4=""),"",$F4-Eckdaten!$B$7)</f>
        <v/>
      </c>
      <c r="J4" s="32" t="str">
        <f>IF($B4="","",IF($G4&lt;&gt;"",IF($G4&lt;=$F4,"erledigt","erledigt, verspätet"),IF(Eckdaten!$B$7&gt;$F4,"überfällig","offen")))</f>
        <v>erledigt, verspätet</v>
      </c>
      <c r="K4" s="27" t="s">
        <v>88</v>
      </c>
      <c r="L4" s="27"/>
    </row>
    <row r="5" ht="13" customHeight="1" spans="1:12" x14ac:dyDescent="0.25">
      <c r="A5" s="14">
        <v>4</v>
      </c>
      <c r="B5" s="26" t="s">
        <v>89</v>
      </c>
      <c r="C5" s="27" t="s">
        <v>90</v>
      </c>
      <c r="D5" s="27" t="s">
        <v>66</v>
      </c>
      <c r="E5" s="14">
        <v>35</v>
      </c>
      <c r="F5" s="28">
        <f>IF(OR($B5="",$D5=""),"",VLOOKUP($D5,Eckdaten!$A$28:$B$30,2,FALSE)+$E5)</f>
        <v>46126</v>
      </c>
      <c r="G5" s="29">
        <v>46132</v>
      </c>
      <c r="H5" s="30">
        <f>IF(OR($F5="",$G5=""),"",$G5-$F5)</f>
        <v>6</v>
      </c>
      <c r="I5" s="31" t="str">
        <f>IF(OR($G5&lt;&gt;"",$F5=""),"",$F5-Eckdaten!$B$7)</f>
        <v/>
      </c>
      <c r="J5" s="32" t="str">
        <f>IF($B5="","",IF($G5&lt;&gt;"",IF($G5&lt;=$F5,"erledigt","erledigt, verspätet"),IF(Eckdaten!$B$7&gt;$F5,"überfällig","offen")))</f>
        <v>erledigt, verspätet</v>
      </c>
      <c r="K5" s="27" t="s">
        <v>91</v>
      </c>
      <c r="L5" s="27"/>
    </row>
    <row r="6" ht="13" customHeight="1" spans="1:12" x14ac:dyDescent="0.25">
      <c r="A6" s="14">
        <v>5</v>
      </c>
      <c r="B6" s="26" t="s">
        <v>92</v>
      </c>
      <c r="C6" s="27" t="s">
        <v>93</v>
      </c>
      <c r="D6" s="27" t="s">
        <v>68</v>
      </c>
      <c r="E6" s="14">
        <v>-45</v>
      </c>
      <c r="F6" s="28">
        <f>IF(OR($B6="",$D6=""),"",VLOOKUP($D6,Eckdaten!$A$28:$B$30,2,FALSE)+$E6)</f>
        <v>46159</v>
      </c>
      <c r="G6" s="29">
        <v>46164</v>
      </c>
      <c r="H6" s="30">
        <f>IF(OR($F6="",$G6=""),"",$G6-$F6)</f>
        <v>5</v>
      </c>
      <c r="I6" s="31" t="str">
        <f>IF(OR($G6&lt;&gt;"",$F6=""),"",$F6-Eckdaten!$B$7)</f>
        <v/>
      </c>
      <c r="J6" s="32" t="str">
        <f>IF($B6="","",IF($G6&lt;&gt;"",IF($G6&lt;=$F6,"erledigt","erledigt, verspätet"),IF(Eckdaten!$B$7&gt;$F6,"überfällig","offen")))</f>
        <v>erledigt, verspätet</v>
      </c>
      <c r="K6" s="27" t="s">
        <v>94</v>
      </c>
      <c r="L6" s="27"/>
    </row>
    <row r="7" ht="13" customHeight="1" spans="1:12" x14ac:dyDescent="0.25">
      <c r="A7" s="14">
        <v>6</v>
      </c>
      <c r="B7" s="26" t="s">
        <v>95</v>
      </c>
      <c r="C7" s="27" t="s">
        <v>96</v>
      </c>
      <c r="D7" s="27" t="s">
        <v>68</v>
      </c>
      <c r="E7" s="14">
        <v>-30</v>
      </c>
      <c r="F7" s="28">
        <f>IF(OR($B7="",$D7=""),"",VLOOKUP($D7,Eckdaten!$A$28:$B$30,2,FALSE)+$E7)</f>
        <v>46174</v>
      </c>
      <c r="G7" s="29">
        <v>46178</v>
      </c>
      <c r="H7" s="30">
        <f>IF(OR($F7="",$G7=""),"",$G7-$F7)</f>
        <v>4</v>
      </c>
      <c r="I7" s="31" t="str">
        <f>IF(OR($G7&lt;&gt;"",$F7=""),"",$F7-Eckdaten!$B$7)</f>
        <v/>
      </c>
      <c r="J7" s="32" t="str">
        <f>IF($B7="","",IF($G7&lt;&gt;"",IF($G7&lt;=$F7,"erledigt","erledigt, verspätet"),IF(Eckdaten!$B$7&gt;$F7,"überfällig","offen")))</f>
        <v>erledigt, verspätet</v>
      </c>
      <c r="K7" s="27" t="s">
        <v>97</v>
      </c>
      <c r="L7" s="27"/>
    </row>
    <row r="8" ht="13" customHeight="1" spans="1:12" x14ac:dyDescent="0.25">
      <c r="A8" s="14">
        <v>7</v>
      </c>
      <c r="B8" s="26" t="s">
        <v>98</v>
      </c>
      <c r="C8" s="27" t="s">
        <v>83</v>
      </c>
      <c r="D8" s="27" t="s">
        <v>68</v>
      </c>
      <c r="E8" s="14">
        <v>-21</v>
      </c>
      <c r="F8" s="28">
        <f>IF(OR($B8="",$D8=""),"",VLOOKUP($D8,Eckdaten!$A$28:$B$30,2,FALSE)+$E8)</f>
        <v>46183</v>
      </c>
      <c r="G8" s="29">
        <v>46191</v>
      </c>
      <c r="H8" s="30">
        <f>IF(OR($F8="",$G8=""),"",$G8-$F8)</f>
        <v>8</v>
      </c>
      <c r="I8" s="31" t="str">
        <f>IF(OR($G8&lt;&gt;"",$F8=""),"",$F8-Eckdaten!$B$7)</f>
        <v/>
      </c>
      <c r="J8" s="32" t="str">
        <f>IF($B8="","",IF($G8&lt;&gt;"",IF($G8&lt;=$F8,"erledigt","erledigt, verspätet"),IF(Eckdaten!$B$7&gt;$F8,"überfällig","offen")))</f>
        <v>erledigt, verspätet</v>
      </c>
      <c r="K8" s="27" t="s">
        <v>99</v>
      </c>
      <c r="L8" s="27"/>
    </row>
    <row r="9" ht="13" customHeight="1" spans="1:12" x14ac:dyDescent="0.25">
      <c r="A9" s="14">
        <v>8</v>
      </c>
      <c r="B9" s="26" t="s">
        <v>100</v>
      </c>
      <c r="C9" s="27" t="s">
        <v>101</v>
      </c>
      <c r="D9" s="27" t="s">
        <v>68</v>
      </c>
      <c r="E9" s="14">
        <v>-14</v>
      </c>
      <c r="F9" s="28">
        <f>IF(OR($B9="",$D9=""),"",VLOOKUP($D9,Eckdaten!$A$28:$B$30,2,FALSE)+$E9)</f>
        <v>46190</v>
      </c>
      <c r="G9" s="29">
        <v>46198</v>
      </c>
      <c r="H9" s="30">
        <f>IF(OR($F9="",$G9=""),"",$G9-$F9)</f>
        <v>8</v>
      </c>
      <c r="I9" s="31" t="str">
        <f>IF(OR($G9&lt;&gt;"",$F9=""),"",$F9-Eckdaten!$B$7)</f>
        <v/>
      </c>
      <c r="J9" s="32" t="str">
        <f>IF($B9="","",IF($G9&lt;&gt;"",IF($G9&lt;=$F9,"erledigt","erledigt, verspätet"),IF(Eckdaten!$B$7&gt;$F9,"überfällig","offen")))</f>
        <v>erledigt, verspätet</v>
      </c>
      <c r="K9" s="27" t="s">
        <v>102</v>
      </c>
      <c r="L9" s="27"/>
    </row>
    <row r="10" ht="13" customHeight="1" spans="1:12" x14ac:dyDescent="0.25">
      <c r="A10" s="14">
        <v>9</v>
      </c>
      <c r="B10" s="26" t="s">
        <v>103</v>
      </c>
      <c r="C10" s="27" t="s">
        <v>101</v>
      </c>
      <c r="D10" s="27" t="s">
        <v>68</v>
      </c>
      <c r="E10" s="14">
        <v>-7</v>
      </c>
      <c r="F10" s="28">
        <f>IF(OR($B10="",$D10=""),"",VLOOKUP($D10,Eckdaten!$A$28:$B$30,2,FALSE)+$E10)</f>
        <v>46197</v>
      </c>
      <c r="G10" s="29">
        <v>46203</v>
      </c>
      <c r="H10" s="30">
        <f>IF(OR($F10="",$G10=""),"",$G10-$F10)</f>
        <v>6</v>
      </c>
      <c r="I10" s="31" t="str">
        <f>IF(OR($G10&lt;&gt;"",$F10=""),"",$F10-Eckdaten!$B$7)</f>
        <v/>
      </c>
      <c r="J10" s="32" t="str">
        <f>IF($B10="","",IF($G10&lt;&gt;"",IF($G10&lt;=$F10,"erledigt","erledigt, verspätet"),IF(Eckdaten!$B$7&gt;$F10,"überfällig","offen")))</f>
        <v>erledigt, verspätet</v>
      </c>
      <c r="K10" s="27" t="s">
        <v>104</v>
      </c>
      <c r="L10" s="27"/>
    </row>
    <row r="11" ht="13" customHeight="1" spans="1:12" x14ac:dyDescent="0.25">
      <c r="A11" s="14">
        <v>10</v>
      </c>
      <c r="B11" s="26" t="s">
        <v>105</v>
      </c>
      <c r="C11" s="27" t="s">
        <v>101</v>
      </c>
      <c r="D11" s="27" t="s">
        <v>68</v>
      </c>
      <c r="E11" s="14">
        <v>0</v>
      </c>
      <c r="F11" s="28">
        <f>IF(OR($B11="",$D11=""),"",VLOOKUP($D11,Eckdaten!$A$28:$B$30,2,FALSE)+$E11)</f>
        <v>46204</v>
      </c>
      <c r="G11" s="29">
        <v>46204</v>
      </c>
      <c r="H11" s="30">
        <f>IF(OR($F11="",$G11=""),"",$G11-$F11)</f>
        <v>0</v>
      </c>
      <c r="I11" s="31" t="str">
        <f>IF(OR($G11&lt;&gt;"",$F11=""),"",$F11-Eckdaten!$B$7)</f>
        <v/>
      </c>
      <c r="J11" s="32" t="str">
        <f>IF($B11="","",IF($G11&lt;&gt;"",IF($G11&lt;=$F11,"erledigt","erledigt, verspätet"),IF(Eckdaten!$B$7&gt;$F11,"überfällig","offen")))</f>
        <v>erledigt</v>
      </c>
      <c r="K11" s="27" t="s">
        <v>106</v>
      </c>
      <c r="L11" s="27"/>
    </row>
    <row r="12" ht="13" customHeight="1" spans="1:12" x14ac:dyDescent="0.25">
      <c r="A12" s="14">
        <v>11</v>
      </c>
      <c r="B12" s="26" t="s">
        <v>107</v>
      </c>
      <c r="C12" s="27" t="s">
        <v>101</v>
      </c>
      <c r="D12" s="27" t="s">
        <v>68</v>
      </c>
      <c r="E12" s="14">
        <v>30</v>
      </c>
      <c r="F12" s="28">
        <f>IF(OR($B12="",$D12=""),"",VLOOKUP($D12,Eckdaten!$A$28:$B$30,2,FALSE)+$E12)</f>
        <v>46234</v>
      </c>
      <c r="G12" s="29"/>
      <c r="H12" s="30" t="str">
        <f>IF(OR($F12="",$G12=""),"",$G12-$F12)</f>
        <v/>
      </c>
      <c r="I12" s="31">
        <f>IF(OR($G12&lt;&gt;"",$F12=""),"",$F12-Eckdaten!$B$7)</f>
        <v>-16</v>
      </c>
      <c r="J12" s="32" t="str">
        <f>IF($B12="","",IF($G12&lt;&gt;"",IF($G12&lt;=$F12,"erledigt","erledigt, verspätet"),IF(Eckdaten!$B$7&gt;$F12,"überfällig","offen")))</f>
        <v>überfällig</v>
      </c>
      <c r="K12" s="27" t="s">
        <v>108</v>
      </c>
      <c r="L12" s="27"/>
    </row>
    <row r="13" ht="13" customHeight="1" spans="1:12" x14ac:dyDescent="0.25">
      <c r="A13" s="14">
        <v>12</v>
      </c>
      <c r="B13" s="26" t="s">
        <v>109</v>
      </c>
      <c r="C13" s="27" t="s">
        <v>93</v>
      </c>
      <c r="D13" s="27" t="s">
        <v>69</v>
      </c>
      <c r="E13" s="14">
        <v>-150</v>
      </c>
      <c r="F13" s="28">
        <f>IF(OR($B13="",$D13=""),"",VLOOKUP($D13,Eckdaten!$A$28:$B$30,2,FALSE)+$E13)</f>
        <v>46328</v>
      </c>
      <c r="G13" s="29"/>
      <c r="H13" s="30" t="str">
        <f>IF(OR($F13="",$G13=""),"",$G13-$F13)</f>
        <v/>
      </c>
      <c r="I13" s="31">
        <f>IF(OR($G13&lt;&gt;"",$F13=""),"",$F13-Eckdaten!$B$7)</f>
        <v>78</v>
      </c>
      <c r="J13" s="32" t="str">
        <f>IF($B13="","",IF($G13&lt;&gt;"",IF($G13&lt;=$F13,"erledigt","erledigt, verspätet"),IF(Eckdaten!$B$7&gt;$F13,"überfällig","offen")))</f>
        <v>offen</v>
      </c>
      <c r="K13" s="27" t="s">
        <v>108</v>
      </c>
      <c r="L13" s="27"/>
    </row>
    <row r="14" ht="13" customHeight="1" spans="1:12" x14ac:dyDescent="0.25">
      <c r="A14" s="14">
        <v>13</v>
      </c>
      <c r="B14" s="26" t="s">
        <v>110</v>
      </c>
      <c r="C14" s="27" t="s">
        <v>101</v>
      </c>
      <c r="D14" s="27" t="s">
        <v>69</v>
      </c>
      <c r="E14" s="14">
        <v>-60</v>
      </c>
      <c r="F14" s="28">
        <f>IF(OR($B14="",$D14=""),"",VLOOKUP($D14,Eckdaten!$A$28:$B$30,2,FALSE)+$E14)</f>
        <v>46418</v>
      </c>
      <c r="G14" s="29"/>
      <c r="H14" s="30" t="str">
        <f>IF(OR($F14="",$G14=""),"",$G14-$F14)</f>
        <v/>
      </c>
      <c r="I14" s="31">
        <f>IF(OR($G14&lt;&gt;"",$F14=""),"",$F14-Eckdaten!$B$7)</f>
        <v>168</v>
      </c>
      <c r="J14" s="32" t="str">
        <f>IF($B14="","",IF($G14&lt;&gt;"",IF($G14&lt;=$F14,"erledigt","erledigt, verspätet"),IF(Eckdaten!$B$7&gt;$F14,"überfällig","offen")))</f>
        <v>offen</v>
      </c>
      <c r="K14" s="27" t="s">
        <v>108</v>
      </c>
      <c r="L14" s="27"/>
    </row>
    <row r="15" ht="13" customHeight="1" spans="1:12" x14ac:dyDescent="0.25">
      <c r="A15" s="14">
        <v>14</v>
      </c>
      <c r="B15" s="26" t="s">
        <v>111</v>
      </c>
      <c r="C15" s="27" t="s">
        <v>93</v>
      </c>
      <c r="D15" s="27" t="s">
        <v>69</v>
      </c>
      <c r="E15" s="14">
        <v>-30</v>
      </c>
      <c r="F15" s="28">
        <f>IF(OR($B15="",$D15=""),"",VLOOKUP($D15,Eckdaten!$A$28:$B$30,2,FALSE)+$E15)</f>
        <v>46448</v>
      </c>
      <c r="G15" s="29"/>
      <c r="H15" s="30" t="str">
        <f>IF(OR($F15="",$G15=""),"",$G15-$F15)</f>
        <v/>
      </c>
      <c r="I15" s="31">
        <f>IF(OR($G15&lt;&gt;"",$F15=""),"",$F15-Eckdaten!$B$7)</f>
        <v>198</v>
      </c>
      <c r="J15" s="32" t="str">
        <f>IF($B15="","",IF($G15&lt;&gt;"",IF($G15&lt;=$F15,"erledigt","erledigt, verspätet"),IF(Eckdaten!$B$7&gt;$F15,"überfällig","offen")))</f>
        <v>offen</v>
      </c>
      <c r="K15" s="27" t="s">
        <v>108</v>
      </c>
      <c r="L15" s="27"/>
    </row>
    <row r="16" ht="13" customHeight="1" spans="1:12" x14ac:dyDescent="0.25">
      <c r="A16" s="14">
        <v>15</v>
      </c>
      <c r="B16" s="26" t="s">
        <v>69</v>
      </c>
      <c r="C16" s="27" t="s">
        <v>90</v>
      </c>
      <c r="D16" s="27" t="s">
        <v>69</v>
      </c>
      <c r="E16" s="14">
        <v>0</v>
      </c>
      <c r="F16" s="28">
        <f>IF(OR($B16="",$D16=""),"",VLOOKUP($D16,Eckdaten!$A$28:$B$30,2,FALSE)+$E16)</f>
        <v>46478</v>
      </c>
      <c r="G16" s="29"/>
      <c r="H16" s="30" t="str">
        <f>IF(OR($F16="",$G16=""),"",$G16-$F16)</f>
        <v/>
      </c>
      <c r="I16" s="31">
        <f>IF(OR($G16&lt;&gt;"",$F16=""),"",$F16-Eckdaten!$B$7)</f>
        <v>228</v>
      </c>
      <c r="J16" s="32" t="str">
        <f>IF($B16="","",IF($G16&lt;&gt;"",IF($G16&lt;=$F16,"erledigt","erledigt, verspätet"),IF(Eckdaten!$B$7&gt;$F16,"überfällig","offen")))</f>
        <v>offen</v>
      </c>
      <c r="K16" s="27" t="s">
        <v>108</v>
      </c>
      <c r="L16" s="27"/>
    </row>
    <row r="17" spans="1:12" x14ac:dyDescent="0.25">
      <c r="A17" s="14"/>
      <c r="B17" s="26"/>
      <c r="C17" s="27"/>
      <c r="D17" s="27"/>
      <c r="E17" s="14"/>
      <c r="F17" s="28" t="str">
        <f>IF(OR($B17="",$D17=""),"",VLOOKUP($D17,Eckdaten!$A$28:$B$30,2,FALSE)+$E17)</f>
        <v/>
      </c>
      <c r="G17" s="29"/>
      <c r="H17" s="30" t="str">
        <f>IF(OR($F17="",$G17=""),"",$G17-$F17)</f>
        <v/>
      </c>
      <c r="I17" s="31" t="str">
        <f>IF(OR($G17&lt;&gt;"",$F17=""),"",$F17-Eckdaten!$B$7)</f>
        <v/>
      </c>
      <c r="J17" s="32" t="str">
        <f>IF($B17="","",IF($G17&lt;&gt;"",IF($G17&lt;=$F17,"erledigt","erledigt, verspätet"),IF(Eckdaten!$B$7&gt;$F17,"überfällig","offen")))</f>
        <v/>
      </c>
      <c r="K17" s="27"/>
      <c r="L17" s="27"/>
    </row>
    <row r="18" spans="1:12" x14ac:dyDescent="0.25">
      <c r="A18" s="14"/>
      <c r="B18" s="26"/>
      <c r="C18" s="27"/>
      <c r="D18" s="27"/>
      <c r="E18" s="14"/>
      <c r="F18" s="28" t="str">
        <f>IF(OR($B18="",$D18=""),"",VLOOKUP($D18,Eckdaten!$A$28:$B$30,2,FALSE)+$E18)</f>
        <v/>
      </c>
      <c r="G18" s="29"/>
      <c r="H18" s="30" t="str">
        <f>IF(OR($F18="",$G18=""),"",$G18-$F18)</f>
        <v/>
      </c>
      <c r="I18" s="31" t="str">
        <f>IF(OR($G18&lt;&gt;"",$F18=""),"",$F18-Eckdaten!$B$7)</f>
        <v/>
      </c>
      <c r="J18" s="32" t="str">
        <f>IF($B18="","",IF($G18&lt;&gt;"",IF($G18&lt;=$F18,"erledigt","erledigt, verspätet"),IF(Eckdaten!$B$7&gt;$F18,"überfällig","offen")))</f>
        <v/>
      </c>
      <c r="K18" s="27"/>
      <c r="L18" s="27"/>
    </row>
    <row r="19" spans="1:12" x14ac:dyDescent="0.25">
      <c r="A19" s="14"/>
      <c r="B19" s="26"/>
      <c r="C19" s="27"/>
      <c r="D19" s="27"/>
      <c r="E19" s="14"/>
      <c r="F19" s="28" t="str">
        <f>IF(OR($B19="",$D19=""),"",VLOOKUP($D19,Eckdaten!$A$28:$B$30,2,FALSE)+$E19)</f>
        <v/>
      </c>
      <c r="G19" s="29"/>
      <c r="H19" s="30" t="str">
        <f>IF(OR($F19="",$G19=""),"",$G19-$F19)</f>
        <v/>
      </c>
      <c r="I19" s="31" t="str">
        <f>IF(OR($G19&lt;&gt;"",$F19=""),"",$F19-Eckdaten!$B$7)</f>
        <v/>
      </c>
      <c r="J19" s="32" t="str">
        <f>IF($B19="","",IF($G19&lt;&gt;"",IF($G19&lt;=$F19,"erledigt","erledigt, verspätet"),IF(Eckdaten!$B$7&gt;$F19,"überfällig","offen")))</f>
        <v/>
      </c>
      <c r="K19" s="27"/>
      <c r="L19" s="27"/>
    </row>
    <row r="20" spans="1:12" x14ac:dyDescent="0.25">
      <c r="A20" s="14"/>
      <c r="B20" s="26"/>
      <c r="C20" s="27"/>
      <c r="D20" s="27"/>
      <c r="E20" s="14"/>
      <c r="F20" s="28" t="str">
        <f>IF(OR($B20="",$D20=""),"",VLOOKUP($D20,Eckdaten!$A$28:$B$30,2,FALSE)+$E20)</f>
        <v/>
      </c>
      <c r="G20" s="29"/>
      <c r="H20" s="30" t="str">
        <f>IF(OR($F20="",$G20=""),"",$G20-$F20)</f>
        <v/>
      </c>
      <c r="I20" s="31" t="str">
        <f>IF(OR($G20&lt;&gt;"",$F20=""),"",$F20-Eckdaten!$B$7)</f>
        <v/>
      </c>
      <c r="J20" s="32" t="str">
        <f>IF($B20="","",IF($G20&lt;&gt;"",IF($G20&lt;=$F20,"erledigt","erledigt, verspätet"),IF(Eckdaten!$B$7&gt;$F20,"überfällig","offen")))</f>
        <v/>
      </c>
      <c r="K20" s="27"/>
      <c r="L20" s="27"/>
    </row>
    <row r="21" spans="1:12" x14ac:dyDescent="0.25">
      <c r="A21" s="14"/>
      <c r="B21" s="26"/>
      <c r="C21" s="27"/>
      <c r="D21" s="27"/>
      <c r="E21" s="14"/>
      <c r="F21" s="28" t="str">
        <f>IF(OR($B21="",$D21=""),"",VLOOKUP($D21,Eckdaten!$A$28:$B$30,2,FALSE)+$E21)</f>
        <v/>
      </c>
      <c r="G21" s="29"/>
      <c r="H21" s="30" t="str">
        <f>IF(OR($F21="",$G21=""),"",$G21-$F21)</f>
        <v/>
      </c>
      <c r="I21" s="31" t="str">
        <f>IF(OR($G21&lt;&gt;"",$F21=""),"",$F21-Eckdaten!$B$7)</f>
        <v/>
      </c>
      <c r="J21" s="32" t="str">
        <f>IF($B21="","",IF($G21&lt;&gt;"",IF($G21&lt;=$F21,"erledigt","erledigt, verspätet"),IF(Eckdaten!$B$7&gt;$F21,"überfällig","offen")))</f>
        <v/>
      </c>
      <c r="K21" s="27"/>
      <c r="L21" s="27"/>
    </row>
    <row r="22" spans="1:12" x14ac:dyDescent="0.25">
      <c r="A22" s="14"/>
      <c r="B22" s="26"/>
      <c r="C22" s="27"/>
      <c r="D22" s="27"/>
      <c r="E22" s="14"/>
      <c r="F22" s="28" t="str">
        <f>IF(OR($B22="",$D22=""),"",VLOOKUP($D22,Eckdaten!$A$28:$B$30,2,FALSE)+$E22)</f>
        <v/>
      </c>
      <c r="G22" s="29"/>
      <c r="H22" s="30" t="str">
        <f>IF(OR($F22="",$G22=""),"",$G22-$F22)</f>
        <v/>
      </c>
      <c r="I22" s="31" t="str">
        <f>IF(OR($G22&lt;&gt;"",$F22=""),"",$F22-Eckdaten!$B$7)</f>
        <v/>
      </c>
      <c r="J22" s="32" t="str">
        <f>IF($B22="","",IF($G22&lt;&gt;"",IF($G22&lt;=$F22,"erledigt","erledigt, verspätet"),IF(Eckdaten!$B$7&gt;$F22,"überfällig","offen")))</f>
        <v/>
      </c>
      <c r="K22" s="27"/>
      <c r="L22" s="27"/>
    </row>
    <row r="23" spans="1:12" x14ac:dyDescent="0.25">
      <c r="A23" s="14"/>
      <c r="B23" s="26"/>
      <c r="C23" s="27"/>
      <c r="D23" s="27"/>
      <c r="E23" s="14"/>
      <c r="F23" s="28" t="str">
        <f>IF(OR($B23="",$D23=""),"",VLOOKUP($D23,Eckdaten!$A$28:$B$30,2,FALSE)+$E23)</f>
        <v/>
      </c>
      <c r="G23" s="29"/>
      <c r="H23" s="30" t="str">
        <f>IF(OR($F23="",$G23=""),"",$G23-$F23)</f>
        <v/>
      </c>
      <c r="I23" s="31" t="str">
        <f>IF(OR($G23&lt;&gt;"",$F23=""),"",$F23-Eckdaten!$B$7)</f>
        <v/>
      </c>
      <c r="J23" s="32" t="str">
        <f>IF($B23="","",IF($G23&lt;&gt;"",IF($G23&lt;=$F23,"erledigt","erledigt, verspätet"),IF(Eckdaten!$B$7&gt;$F23,"überfällig","offen")))</f>
        <v/>
      </c>
      <c r="K23" s="27"/>
      <c r="L23" s="27"/>
    </row>
    <row r="24" spans="1:12" x14ac:dyDescent="0.25">
      <c r="A24" s="14"/>
      <c r="B24" s="26"/>
      <c r="C24" s="27"/>
      <c r="D24" s="27"/>
      <c r="E24" s="14"/>
      <c r="F24" s="28" t="str">
        <f>IF(OR($B24="",$D24=""),"",VLOOKUP($D24,Eckdaten!$A$28:$B$30,2,FALSE)+$E24)</f>
        <v/>
      </c>
      <c r="G24" s="29"/>
      <c r="H24" s="30" t="str">
        <f>IF(OR($F24="",$G24=""),"",$G24-$F24)</f>
        <v/>
      </c>
      <c r="I24" s="31" t="str">
        <f>IF(OR($G24&lt;&gt;"",$F24=""),"",$F24-Eckdaten!$B$7)</f>
        <v/>
      </c>
      <c r="J24" s="32" t="str">
        <f>IF($B24="","",IF($G24&lt;&gt;"",IF($G24&lt;=$F24,"erledigt","erledigt, verspätet"),IF(Eckdaten!$B$7&gt;$F24,"überfällig","offen")))</f>
        <v/>
      </c>
      <c r="K24" s="27"/>
      <c r="L24" s="27"/>
    </row>
    <row r="25" spans="1:12" x14ac:dyDescent="0.25">
      <c r="A25" s="14"/>
      <c r="B25" s="26"/>
      <c r="C25" s="27"/>
      <c r="D25" s="27"/>
      <c r="E25" s="14"/>
      <c r="F25" s="28" t="str">
        <f>IF(OR($B25="",$D25=""),"",VLOOKUP($D25,Eckdaten!$A$28:$B$30,2,FALSE)+$E25)</f>
        <v/>
      </c>
      <c r="G25" s="29"/>
      <c r="H25" s="30" t="str">
        <f>IF(OR($F25="",$G25=""),"",$G25-$F25)</f>
        <v/>
      </c>
      <c r="I25" s="31" t="str">
        <f>IF(OR($G25&lt;&gt;"",$F25=""),"",$F25-Eckdaten!$B$7)</f>
        <v/>
      </c>
      <c r="J25" s="32" t="str">
        <f>IF($B25="","",IF($G25&lt;&gt;"",IF($G25&lt;=$F25,"erledigt","erledigt, verspätet"),IF(Eckdaten!$B$7&gt;$F25,"überfällig","offen")))</f>
        <v/>
      </c>
      <c r="K25" s="27"/>
      <c r="L25" s="27"/>
    </row>
    <row r="26" spans="1:12" x14ac:dyDescent="0.25">
      <c r="A26" s="14"/>
      <c r="B26" s="26"/>
      <c r="C26" s="27"/>
      <c r="D26" s="27"/>
      <c r="E26" s="14"/>
      <c r="F26" s="28" t="str">
        <f>IF(OR($B26="",$D26=""),"",VLOOKUP($D26,Eckdaten!$A$28:$B$30,2,FALSE)+$E26)</f>
        <v/>
      </c>
      <c r="G26" s="29"/>
      <c r="H26" s="30" t="str">
        <f>IF(OR($F26="",$G26=""),"",$G26-$F26)</f>
        <v/>
      </c>
      <c r="I26" s="31" t="str">
        <f>IF(OR($G26&lt;&gt;"",$F26=""),"",$F26-Eckdaten!$B$7)</f>
        <v/>
      </c>
      <c r="J26" s="32" t="str">
        <f>IF($B26="","",IF($G26&lt;&gt;"",IF($G26&lt;=$F26,"erledigt","erledigt, verspätet"),IF(Eckdaten!$B$7&gt;$F26,"überfällig","offen")))</f>
        <v/>
      </c>
      <c r="K26" s="27"/>
      <c r="L26" s="27"/>
    </row>
    <row r="27" spans="1:12" x14ac:dyDescent="0.25">
      <c r="A27" s="14"/>
      <c r="B27" s="26"/>
      <c r="C27" s="27"/>
      <c r="D27" s="27"/>
      <c r="E27" s="14"/>
      <c r="F27" s="28" t="str">
        <f>IF(OR($B27="",$D27=""),"",VLOOKUP($D27,Eckdaten!$A$28:$B$30,2,FALSE)+$E27)</f>
        <v/>
      </c>
      <c r="G27" s="29"/>
      <c r="H27" s="30" t="str">
        <f>IF(OR($F27="",$G27=""),"",$G27-$F27)</f>
        <v/>
      </c>
      <c r="I27" s="31" t="str">
        <f>IF(OR($G27&lt;&gt;"",$F27=""),"",$F27-Eckdaten!$B$7)</f>
        <v/>
      </c>
      <c r="J27" s="32" t="str">
        <f>IF($B27="","",IF($G27&lt;&gt;"",IF($G27&lt;=$F27,"erledigt","erledigt, verspätet"),IF(Eckdaten!$B$7&gt;$F27,"überfällig","offen")))</f>
        <v/>
      </c>
      <c r="K27" s="27"/>
      <c r="L27" s="27"/>
    </row>
    <row r="29" ht="23.5" customHeight="1" spans="1:12" x14ac:dyDescent="0.25">
      <c r="A29" s="33"/>
      <c r="B29" s="13" t="s">
        <v>112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</sheetData>
  <sheetProtection sheet="1" insertRows="0" deleteRows="0" sort="0" autoFilter="0"/>
  <autoFilter ref="A1:L1"/>
  <mergeCells count="1">
    <mergeCell ref="B29:L29"/>
  </mergeCells>
  <dataValidations count="4">
    <dataValidation type="list" showErrorMessage="1" errorTitle="Nicht in der Liste" error="Zulässig sind: Baugenehmigung, Vertriebsstart, Baubeginn" sqref="D10:D27">
      <formula1>"Baugenehmigung,Vertriebsstart,Baubeginn"</formula1>
    </dataValidation>
    <dataValidation type="list" showErrorMessage="1" errorTitle="Nicht in der Liste" error="Zulässig sind: Baugenehmigung, Vertriebsstart, Baubeginn" sqref="D2:D27">
      <formula1>"Baugenehmigung,Vertriebsstart,Baubeginn"</formula1>
    </dataValidation>
    <dataValidation type="decimal" allowBlank="1" showErrorMessage="1" errorTitle="Wert außerhalb des Bereichs" error="Zulässig sind Werte zwischen -720 und 720." sqref="E10:E27">
      <formula1>-720</formula1>
      <formula2>720</formula2>
    </dataValidation>
    <dataValidation type="decimal" allowBlank="1" showErrorMessage="1" errorTitle="Wert außerhalb des Bereichs" error="Zulässig sind Werte zwischen -720 und 720." sqref="E2:E27">
      <formula1>-720</formula1>
      <formula2>720</formula2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style="21" customWidth="1"/>
    <col min="2" max="3" width="11" style="20" customWidth="1"/>
    <col min="4" max="4" width="14" style="20" customWidth="1"/>
    <col min="5" max="6" width="15" style="20" customWidth="1"/>
    <col min="7" max="8" width="16" style="20" customWidth="1"/>
    <col min="9" max="9" width="16" style="34" customWidth="1"/>
    <col min="10" max="10" width="17" style="20" customWidth="1"/>
    <col min="11" max="11" width="14" style="34" customWidth="1"/>
    <col min="12" max="12" width="30" style="1" customWidth="1"/>
  </cols>
  <sheetData>
    <row r="1" ht="44" customHeight="1" spans="1:12" x14ac:dyDescent="0.25">
      <c r="A1" s="24" t="s">
        <v>113</v>
      </c>
      <c r="B1" s="23" t="s">
        <v>114</v>
      </c>
      <c r="C1" s="23" t="s">
        <v>115</v>
      </c>
      <c r="D1" s="23" t="s">
        <v>116</v>
      </c>
      <c r="E1" s="23" t="s">
        <v>117</v>
      </c>
      <c r="F1" s="23" t="s">
        <v>118</v>
      </c>
      <c r="G1" s="23" t="s">
        <v>119</v>
      </c>
      <c r="H1" s="23" t="s">
        <v>120</v>
      </c>
      <c r="I1" s="35" t="s">
        <v>121</v>
      </c>
      <c r="J1" s="23" t="s">
        <v>122</v>
      </c>
      <c r="K1" s="35" t="s">
        <v>123</v>
      </c>
      <c r="L1" s="9" t="s">
        <v>81</v>
      </c>
    </row>
    <row r="2" spans="1:12" x14ac:dyDescent="0.25">
      <c r="A2" s="29">
        <v>46204</v>
      </c>
      <c r="B2" s="31">
        <f>IF(OR($A2="",$A2&gt;(Eckdaten!$B$6-Eckdaten!$B$12)),"",Eckdaten!$B$23)</f>
        <v>41</v>
      </c>
      <c r="C2" s="14">
        <v>46</v>
      </c>
      <c r="D2" s="14">
        <v>21</v>
      </c>
      <c r="E2" s="14">
        <v>12</v>
      </c>
      <c r="F2" s="14">
        <v>4</v>
      </c>
      <c r="G2" s="14">
        <v>1</v>
      </c>
      <c r="H2" s="31">
        <f>IF(COUNT($C2:$G2)&gt;0,SUM($G$2:$G2),"")</f>
        <v>1</v>
      </c>
      <c r="I2" s="36">
        <f>IF(AND(COUNT($C2:$G2)&gt;0,Eckdaten!$B$9&gt;0),ROUND($H2/Eckdaten!$B$9,4),"")</f>
        <v>0.0208</v>
      </c>
      <c r="J2" s="31">
        <f>IF(COUNT($C2:$G2)&gt;0,Eckdaten!$B$16-$H2,"")</f>
        <v>18</v>
      </c>
      <c r="K2" s="36">
        <f>IF(OR($B2="",$C2=""),"",ROUND($C2/$B2,4))</f>
        <v>1.122</v>
      </c>
      <c r="L2" s="27"/>
    </row>
    <row r="3" spans="1:12" x14ac:dyDescent="0.25">
      <c r="A3" s="29">
        <v>46235</v>
      </c>
      <c r="B3" s="31">
        <f>IF(OR($A3="",$A3&gt;(Eckdaten!$B$6-Eckdaten!$B$12)),"",Eckdaten!$B$23)</f>
        <v>41</v>
      </c>
      <c r="C3" s="14">
        <v>38</v>
      </c>
      <c r="D3" s="14">
        <v>17</v>
      </c>
      <c r="E3" s="14">
        <v>9</v>
      </c>
      <c r="F3" s="14">
        <v>3</v>
      </c>
      <c r="G3" s="14">
        <v>2</v>
      </c>
      <c r="H3" s="31">
        <f>IF(COUNT($C3:$G3)&gt;0,SUM($G$2:$G3),"")</f>
        <v>3</v>
      </c>
      <c r="I3" s="36">
        <f>IF(AND(COUNT($C3:$G3)&gt;0,Eckdaten!$B$9&gt;0),ROUND($H3/Eckdaten!$B$9,4),"")</f>
        <v>0.0625</v>
      </c>
      <c r="J3" s="31">
        <f>IF(COUNT($C3:$G3)&gt;0,Eckdaten!$B$16-$H3,"")</f>
        <v>16</v>
      </c>
      <c r="K3" s="36">
        <f>IF(OR($B3="",$C3=""),"",ROUND($C3/$B3,4))</f>
        <v>0.9268</v>
      </c>
      <c r="L3" s="27"/>
    </row>
    <row r="4" spans="1:12" x14ac:dyDescent="0.25">
      <c r="A4" s="29">
        <v>46266</v>
      </c>
      <c r="B4" s="31">
        <f>IF(OR($A4="",$A4&gt;(Eckdaten!$B$6-Eckdaten!$B$12)),"",Eckdaten!$B$23)</f>
        <v>41</v>
      </c>
      <c r="C4" s="14"/>
      <c r="D4" s="14"/>
      <c r="E4" s="14"/>
      <c r="F4" s="14"/>
      <c r="G4" s="14"/>
      <c r="H4" s="31" t="str">
        <f>IF(COUNT($C4:$G4)&gt;0,SUM($G$2:$G4),"")</f>
        <v/>
      </c>
      <c r="I4" s="36" t="str">
        <f>IF(AND(COUNT($C4:$G4)&gt;0,Eckdaten!$B$9&gt;0),ROUND($H4/Eckdaten!$B$9,4),"")</f>
        <v/>
      </c>
      <c r="J4" s="31" t="str">
        <f>IF(COUNT($C4:$G4)&gt;0,Eckdaten!$B$16-$H4,"")</f>
        <v/>
      </c>
      <c r="K4" s="36" t="str">
        <f>IF(OR($B4="",$C4=""),"",ROUND($C4/$B4,4))</f>
        <v/>
      </c>
      <c r="L4" s="27"/>
    </row>
    <row r="5" spans="1:12" x14ac:dyDescent="0.25">
      <c r="A5" s="29">
        <v>46296</v>
      </c>
      <c r="B5" s="31">
        <f>IF(OR($A5="",$A5&gt;(Eckdaten!$B$6-Eckdaten!$B$12)),"",Eckdaten!$B$23)</f>
        <v>41</v>
      </c>
      <c r="C5" s="14"/>
      <c r="D5" s="14"/>
      <c r="E5" s="14"/>
      <c r="F5" s="14"/>
      <c r="G5" s="14"/>
      <c r="H5" s="31" t="str">
        <f>IF(COUNT($C5:$G5)&gt;0,SUM($G$2:$G5),"")</f>
        <v/>
      </c>
      <c r="I5" s="36" t="str">
        <f>IF(AND(COUNT($C5:$G5)&gt;0,Eckdaten!$B$9&gt;0),ROUND($H5/Eckdaten!$B$9,4),"")</f>
        <v/>
      </c>
      <c r="J5" s="31" t="str">
        <f>IF(COUNT($C5:$G5)&gt;0,Eckdaten!$B$16-$H5,"")</f>
        <v/>
      </c>
      <c r="K5" s="36" t="str">
        <f>IF(OR($B5="",$C5=""),"",ROUND($C5/$B5,4))</f>
        <v/>
      </c>
      <c r="L5" s="27"/>
    </row>
    <row r="6" spans="1:12" x14ac:dyDescent="0.25">
      <c r="A6" s="29">
        <v>46327</v>
      </c>
      <c r="B6" s="31">
        <f>IF(OR($A6="",$A6&gt;(Eckdaten!$B$6-Eckdaten!$B$12)),"",Eckdaten!$B$23)</f>
        <v>41</v>
      </c>
      <c r="C6" s="14"/>
      <c r="D6" s="14"/>
      <c r="E6" s="14"/>
      <c r="F6" s="14"/>
      <c r="G6" s="14"/>
      <c r="H6" s="31" t="str">
        <f>IF(COUNT($C6:$G6)&gt;0,SUM($G$2:$G6),"")</f>
        <v/>
      </c>
      <c r="I6" s="36" t="str">
        <f>IF(AND(COUNT($C6:$G6)&gt;0,Eckdaten!$B$9&gt;0),ROUND($H6/Eckdaten!$B$9,4),"")</f>
        <v/>
      </c>
      <c r="J6" s="31" t="str">
        <f>IF(COUNT($C6:$G6)&gt;0,Eckdaten!$B$16-$H6,"")</f>
        <v/>
      </c>
      <c r="K6" s="36" t="str">
        <f>IF(OR($B6="",$C6=""),"",ROUND($C6/$B6,4))</f>
        <v/>
      </c>
      <c r="L6" s="27"/>
    </row>
    <row r="7" spans="1:12" x14ac:dyDescent="0.25">
      <c r="A7" s="29">
        <v>46357</v>
      </c>
      <c r="B7" s="31">
        <f>IF(OR($A7="",$A7&gt;(Eckdaten!$B$6-Eckdaten!$B$12)),"",Eckdaten!$B$23)</f>
        <v>41</v>
      </c>
      <c r="C7" s="14"/>
      <c r="D7" s="14"/>
      <c r="E7" s="14"/>
      <c r="F7" s="14"/>
      <c r="G7" s="14"/>
      <c r="H7" s="31" t="str">
        <f>IF(COUNT($C7:$G7)&gt;0,SUM($G$2:$G7),"")</f>
        <v/>
      </c>
      <c r="I7" s="36" t="str">
        <f>IF(AND(COUNT($C7:$G7)&gt;0,Eckdaten!$B$9&gt;0),ROUND($H7/Eckdaten!$B$9,4),"")</f>
        <v/>
      </c>
      <c r="J7" s="31" t="str">
        <f>IF(COUNT($C7:$G7)&gt;0,Eckdaten!$B$16-$H7,"")</f>
        <v/>
      </c>
      <c r="K7" s="36" t="str">
        <f>IF(OR($B7="",$C7=""),"",ROUND($C7/$B7,4))</f>
        <v/>
      </c>
      <c r="L7" s="27"/>
    </row>
    <row r="8" spans="1:12" x14ac:dyDescent="0.25">
      <c r="A8" s="29">
        <v>46388</v>
      </c>
      <c r="B8" s="31" t="str">
        <f>IF(OR($A8="",$A8&gt;(Eckdaten!$B$6-Eckdaten!$B$12)),"",Eckdaten!$B$23)</f>
        <v/>
      </c>
      <c r="C8" s="14"/>
      <c r="D8" s="14"/>
      <c r="E8" s="14"/>
      <c r="F8" s="14"/>
      <c r="G8" s="14"/>
      <c r="H8" s="31" t="str">
        <f>IF(COUNT($C8:$G8)&gt;0,SUM($G$2:$G8),"")</f>
        <v/>
      </c>
      <c r="I8" s="36" t="str">
        <f>IF(AND(COUNT($C8:$G8)&gt;0,Eckdaten!$B$9&gt;0),ROUND($H8/Eckdaten!$B$9,4),"")</f>
        <v/>
      </c>
      <c r="J8" s="31" t="str">
        <f>IF(COUNT($C8:$G8)&gt;0,Eckdaten!$B$16-$H8,"")</f>
        <v/>
      </c>
      <c r="K8" s="36" t="str">
        <f>IF(OR($B8="",$C8=""),"",ROUND($C8/$B8,4))</f>
        <v/>
      </c>
      <c r="L8" s="27"/>
    </row>
    <row r="9" spans="1:12" x14ac:dyDescent="0.25">
      <c r="A9" s="29">
        <v>46419</v>
      </c>
      <c r="B9" s="31" t="str">
        <f>IF(OR($A9="",$A9&gt;(Eckdaten!$B$6-Eckdaten!$B$12)),"",Eckdaten!$B$23)</f>
        <v/>
      </c>
      <c r="C9" s="14"/>
      <c r="D9" s="14"/>
      <c r="E9" s="14"/>
      <c r="F9" s="14"/>
      <c r="G9" s="14"/>
      <c r="H9" s="31" t="str">
        <f>IF(COUNT($C9:$G9)&gt;0,SUM($G$2:$G9),"")</f>
        <v/>
      </c>
      <c r="I9" s="36" t="str">
        <f>IF(AND(COUNT($C9:$G9)&gt;0,Eckdaten!$B$9&gt;0),ROUND($H9/Eckdaten!$B$9,4),"")</f>
        <v/>
      </c>
      <c r="J9" s="31" t="str">
        <f>IF(COUNT($C9:$G9)&gt;0,Eckdaten!$B$16-$H9,"")</f>
        <v/>
      </c>
      <c r="K9" s="36" t="str">
        <f>IF(OR($B9="",$C9=""),"",ROUND($C9/$B9,4))</f>
        <v/>
      </c>
      <c r="L9" s="27"/>
    </row>
    <row r="10" spans="1:12" x14ac:dyDescent="0.25">
      <c r="A10" s="29">
        <v>46447</v>
      </c>
      <c r="B10" s="31" t="str">
        <f>IF(OR($A10="",$A10&gt;(Eckdaten!$B$6-Eckdaten!$B$12)),"",Eckdaten!$B$23)</f>
        <v/>
      </c>
      <c r="C10" s="14"/>
      <c r="D10" s="14"/>
      <c r="E10" s="14"/>
      <c r="F10" s="14"/>
      <c r="G10" s="14"/>
      <c r="H10" s="31" t="str">
        <f>IF(COUNT($C10:$G10)&gt;0,SUM($G$2:$G10),"")</f>
        <v/>
      </c>
      <c r="I10" s="36" t="str">
        <f>IF(AND(COUNT($C10:$G10)&gt;0,Eckdaten!$B$9&gt;0),ROUND($H10/Eckdaten!$B$9,4),"")</f>
        <v/>
      </c>
      <c r="J10" s="31" t="str">
        <f>IF(COUNT($C10:$G10)&gt;0,Eckdaten!$B$16-$H10,"")</f>
        <v/>
      </c>
      <c r="K10" s="36" t="str">
        <f>IF(OR($B10="",$C10=""),"",ROUND($C10/$B10,4))</f>
        <v/>
      </c>
      <c r="L10" s="27"/>
    </row>
    <row r="11" spans="1:12" x14ac:dyDescent="0.25">
      <c r="A11" s="29">
        <v>46478</v>
      </c>
      <c r="B11" s="31" t="str">
        <f>IF(OR($A11="",$A11&gt;(Eckdaten!$B$6-Eckdaten!$B$12)),"",Eckdaten!$B$23)</f>
        <v/>
      </c>
      <c r="C11" s="14"/>
      <c r="D11" s="14"/>
      <c r="E11" s="14"/>
      <c r="F11" s="14"/>
      <c r="G11" s="14"/>
      <c r="H11" s="31" t="str">
        <f>IF(COUNT($C11:$G11)&gt;0,SUM($G$2:$G11),"")</f>
        <v/>
      </c>
      <c r="I11" s="36" t="str">
        <f>IF(AND(COUNT($C11:$G11)&gt;0,Eckdaten!$B$9&gt;0),ROUND($H11/Eckdaten!$B$9,4),"")</f>
        <v/>
      </c>
      <c r="J11" s="31" t="str">
        <f>IF(COUNT($C11:$G11)&gt;0,Eckdaten!$B$16-$H11,"")</f>
        <v/>
      </c>
      <c r="K11" s="36" t="str">
        <f>IF(OR($B11="",$C11=""),"",ROUND($C11/$B11,4))</f>
        <v/>
      </c>
      <c r="L11" s="27"/>
    </row>
    <row r="12" spans="1:12" x14ac:dyDescent="0.25">
      <c r="A12" s="29">
        <v>46508</v>
      </c>
      <c r="B12" s="31" t="str">
        <f>IF(OR($A12="",$A12&gt;(Eckdaten!$B$6-Eckdaten!$B$12)),"",Eckdaten!$B$23)</f>
        <v/>
      </c>
      <c r="C12" s="14"/>
      <c r="D12" s="14"/>
      <c r="E12" s="14"/>
      <c r="F12" s="14"/>
      <c r="G12" s="14"/>
      <c r="H12" s="31" t="str">
        <f>IF(COUNT($C12:$G12)&gt;0,SUM($G$2:$G12),"")</f>
        <v/>
      </c>
      <c r="I12" s="36" t="str">
        <f>IF(AND(COUNT($C12:$G12)&gt;0,Eckdaten!$B$9&gt;0),ROUND($H12/Eckdaten!$B$9,4),"")</f>
        <v/>
      </c>
      <c r="J12" s="31" t="str">
        <f>IF(COUNT($C12:$G12)&gt;0,Eckdaten!$B$16-$H12,"")</f>
        <v/>
      </c>
      <c r="K12" s="36" t="str">
        <f>IF(OR($B12="",$C12=""),"",ROUND($C12/$B12,4))</f>
        <v/>
      </c>
      <c r="L12" s="27"/>
    </row>
    <row r="13" spans="1:12" x14ac:dyDescent="0.25">
      <c r="A13" s="29">
        <v>46539</v>
      </c>
      <c r="B13" s="31" t="str">
        <f>IF(OR($A13="",$A13&gt;(Eckdaten!$B$6-Eckdaten!$B$12)),"",Eckdaten!$B$23)</f>
        <v/>
      </c>
      <c r="C13" s="14"/>
      <c r="D13" s="14"/>
      <c r="E13" s="14"/>
      <c r="F13" s="14"/>
      <c r="G13" s="14"/>
      <c r="H13" s="31" t="str">
        <f>IF(COUNT($C13:$G13)&gt;0,SUM($G$2:$G13),"")</f>
        <v/>
      </c>
      <c r="I13" s="36" t="str">
        <f>IF(AND(COUNT($C13:$G13)&gt;0,Eckdaten!$B$9&gt;0),ROUND($H13/Eckdaten!$B$9,4),"")</f>
        <v/>
      </c>
      <c r="J13" s="31" t="str">
        <f>IF(COUNT($C13:$G13)&gt;0,Eckdaten!$B$16-$H13,"")</f>
        <v/>
      </c>
      <c r="K13" s="36" t="str">
        <f>IF(OR($B13="",$C13=""),"",ROUND($C13/$B13,4))</f>
        <v/>
      </c>
      <c r="L13" s="27"/>
    </row>
    <row r="15" spans="1:7" x14ac:dyDescent="0.25">
      <c r="A15" s="37" t="s">
        <v>124</v>
      </c>
      <c r="B15" s="16">
        <f>SUM(B$2:B$13)</f>
        <v>246</v>
      </c>
      <c r="C15" s="16">
        <f>SUM(C$2:C$13)</f>
        <v>84</v>
      </c>
      <c r="D15" s="16">
        <f>SUM(D$2:D$13)</f>
        <v>38</v>
      </c>
      <c r="E15" s="16">
        <f>SUM(E$2:E$13)</f>
        <v>21</v>
      </c>
      <c r="F15" s="16">
        <f>SUM(F$2:F$13)</f>
        <v>7</v>
      </c>
      <c r="G15" s="16">
        <f>SUM(G$2:G$13)</f>
        <v>3</v>
      </c>
    </row>
    <row r="17" ht="44.5" customHeight="1" spans="1:8" x14ac:dyDescent="0.25">
      <c r="A17" s="38"/>
      <c r="B17" s="39" t="s">
        <v>125</v>
      </c>
      <c r="C17" s="39"/>
      <c r="D17" s="39"/>
      <c r="E17" s="39"/>
      <c r="F17" s="39"/>
      <c r="G17" s="39"/>
      <c r="H17" s="39"/>
    </row>
  </sheetData>
  <sheetProtection sheet="1" insertRows="0" deleteRows="0" sort="0" autoFilter="0"/>
  <autoFilter ref="A1:L1"/>
  <mergeCells count="1">
    <mergeCell ref="B17:H17"/>
  </mergeCells>
  <dataValidations count="2">
    <dataValidation type="decimal" allowBlank="1" showErrorMessage="1" errorTitle="Wert außerhalb des Bereichs" error="Zulässig sind Werte zwischen 0 und 100000." sqref="C10:G13">
      <formula1>0</formula1>
      <formula2>100000</formula2>
    </dataValidation>
    <dataValidation type="decimal" allowBlank="1" showErrorMessage="1" errorTitle="Wert außerhalb des Bereichs" error="Zulässig sind Werte zwischen 0 und 100000." sqref="C2:G13">
      <formula1>0</formula1>
      <formula2>100000</formula2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Deckblatt</vt:lpstr>
      <vt:lpstr>Eckdaten</vt:lpstr>
      <vt:lpstr>Meilensteine</vt:lpstr>
      <vt:lpstr>Vermarktungsverlauf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Vertriebsstart-Fahrplan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